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ASESOR DE CONTROL INTERNO\2024 ACI ESE HEC\CONTROL INTERNO 2024\Informe Evaluación Independiente Sistema de Control Interno 2024\IEICI Enero 2024\"/>
    </mc:Choice>
  </mc:AlternateContent>
  <bookViews>
    <workbookView xWindow="0" yWindow="0" windowWidth="14205" windowHeight="7230" activeTab="3"/>
  </bookViews>
  <sheets>
    <sheet name="Instructivo" sheetId="2" r:id="rId1"/>
    <sheet name="Estado SCI" sheetId="1" r:id="rId2"/>
    <sheet name="Análisis Resultados" sheetId="3" r:id="rId3"/>
    <sheet name="Conclusión" sheetId="5" r:id="rId4"/>
    <sheet name="Hoja1" sheetId="6" state="hidden" r:id="rId5"/>
  </sheets>
  <externalReferences>
    <externalReference r:id="rId6"/>
  </externalReferences>
  <definedNames>
    <definedName name="_xlnm._FilterDatabase" localSheetId="4" hidden="1">Hoja1!$A$1:$K$45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9" i="1" l="1"/>
  <c r="J58" i="1"/>
  <c r="J57" i="1"/>
  <c r="J56" i="1"/>
  <c r="J55" i="1"/>
  <c r="J54" i="1"/>
  <c r="J53" i="1"/>
  <c r="J52" i="1"/>
  <c r="J51" i="1"/>
  <c r="J5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A59" i="1" l="1"/>
  <c r="A58" i="1"/>
  <c r="A57" i="1"/>
  <c r="A56" i="1"/>
  <c r="A55" i="1"/>
  <c r="A54" i="1"/>
  <c r="A53" i="1"/>
  <c r="A52" i="1"/>
  <c r="A51" i="1"/>
  <c r="A50" i="1"/>
  <c r="A49" i="1"/>
  <c r="A48" i="1"/>
  <c r="A47" i="1"/>
  <c r="A46" i="1"/>
  <c r="A45" i="1"/>
  <c r="A44" i="1"/>
  <c r="A43" i="1"/>
  <c r="A42" i="1"/>
  <c r="A41" i="1"/>
  <c r="A40" i="1"/>
  <c r="A39" i="1"/>
  <c r="J37" i="1"/>
  <c r="L37" i="1" s="1"/>
  <c r="J36" i="1"/>
  <c r="L36" i="1" s="1"/>
  <c r="J35" i="1"/>
  <c r="L35" i="1" s="1"/>
  <c r="J34" i="1"/>
  <c r="L34" i="1" s="1"/>
  <c r="J33" i="1"/>
  <c r="L33" i="1" s="1"/>
  <c r="J32" i="1"/>
  <c r="L32" i="1" s="1"/>
  <c r="A38" i="1"/>
  <c r="A37" i="1"/>
  <c r="A36" i="1"/>
  <c r="A35" i="1"/>
  <c r="A34" i="1"/>
  <c r="A33" i="1"/>
  <c r="A32" i="1"/>
  <c r="L59" i="1"/>
  <c r="L58" i="1"/>
  <c r="L57" i="1"/>
  <c r="L56" i="1"/>
  <c r="L55" i="1"/>
  <c r="L54" i="1"/>
  <c r="L53" i="1"/>
  <c r="L52" i="1"/>
  <c r="L51" i="1"/>
  <c r="L50" i="1"/>
  <c r="J49" i="1"/>
  <c r="L49" i="1" s="1"/>
  <c r="J48" i="1"/>
  <c r="L48" i="1" s="1"/>
  <c r="J47" i="1"/>
  <c r="L47" i="1" s="1"/>
  <c r="J46" i="1"/>
  <c r="L46" i="1" s="1"/>
  <c r="J45" i="1"/>
  <c r="L45" i="1" s="1"/>
  <c r="J44" i="1"/>
  <c r="L44" i="1" s="1"/>
  <c r="J43" i="1"/>
  <c r="L43" i="1" s="1"/>
  <c r="J42" i="1"/>
  <c r="L42" i="1" s="1"/>
  <c r="J41" i="1"/>
  <c r="L41" i="1" s="1"/>
  <c r="J40" i="1"/>
  <c r="L40" i="1" s="1"/>
  <c r="J39" i="1"/>
  <c r="L39" i="1" s="1"/>
  <c r="J38" i="1"/>
  <c r="L38" i="1" s="1"/>
  <c r="J31" i="1"/>
  <c r="L31" i="1" s="1"/>
  <c r="J30" i="1"/>
  <c r="L30" i="1" s="1"/>
  <c r="J29" i="1"/>
  <c r="L29" i="1" s="1"/>
  <c r="J28" i="1"/>
  <c r="L28" i="1" s="1"/>
  <c r="J27" i="1"/>
  <c r="L27" i="1" s="1"/>
  <c r="J26" i="1"/>
  <c r="L26" i="1" s="1"/>
  <c r="J25" i="1"/>
  <c r="L25" i="1" s="1"/>
  <c r="J24" i="1"/>
  <c r="L24" i="1" s="1"/>
  <c r="J23" i="1"/>
  <c r="L23" i="1" s="1"/>
  <c r="J22" i="1"/>
  <c r="L22" i="1" s="1"/>
  <c r="J21" i="1"/>
  <c r="L21" i="1" s="1"/>
  <c r="J20" i="1"/>
  <c r="L20" i="1" s="1"/>
  <c r="J19" i="1"/>
  <c r="L19" i="1" s="1"/>
  <c r="J18" i="1"/>
  <c r="L18" i="1" s="1"/>
  <c r="J17" i="1"/>
  <c r="L17" i="1" s="1"/>
  <c r="J16" i="1"/>
  <c r="L16" i="1" s="1"/>
  <c r="A31" i="1" l="1"/>
  <c r="A30" i="1"/>
  <c r="A29" i="1"/>
  <c r="A28" i="1"/>
  <c r="A27" i="1"/>
  <c r="A26" i="1"/>
  <c r="A25" i="1"/>
  <c r="A24" i="1"/>
  <c r="A23" i="1"/>
  <c r="A22" i="1"/>
  <c r="A21" i="1"/>
  <c r="A20" i="1"/>
  <c r="A19" i="1"/>
  <c r="A18" i="1"/>
  <c r="A17" i="1"/>
  <c r="A16" i="1"/>
  <c r="I3" i="6" l="1"/>
  <c r="J3" i="6" s="1"/>
  <c r="I11" i="6"/>
  <c r="J11" i="6" s="1"/>
  <c r="I19" i="6"/>
  <c r="J19" i="6" s="1"/>
  <c r="I25" i="6"/>
  <c r="J25" i="6" s="1"/>
  <c r="I33" i="6"/>
  <c r="J33" i="6" s="1"/>
  <c r="I41" i="6"/>
  <c r="J41" i="6" s="1"/>
  <c r="B29" i="6"/>
  <c r="I4" i="6"/>
  <c r="J4" i="6" s="1"/>
  <c r="I12" i="6"/>
  <c r="J12" i="6" s="1"/>
  <c r="I20" i="6"/>
  <c r="J20" i="6" s="1"/>
  <c r="I26" i="6"/>
  <c r="J26" i="6" s="1"/>
  <c r="I34" i="6"/>
  <c r="J34" i="6" s="1"/>
  <c r="I42" i="6"/>
  <c r="J42" i="6" s="1"/>
  <c r="B36" i="6"/>
  <c r="I5" i="6"/>
  <c r="J5" i="6" s="1"/>
  <c r="I13" i="6"/>
  <c r="J13" i="6" s="1"/>
  <c r="I27" i="6"/>
  <c r="J27" i="6" s="1"/>
  <c r="I35" i="6"/>
  <c r="J35" i="6" s="1"/>
  <c r="I43" i="6"/>
  <c r="J43" i="6" s="1"/>
  <c r="B2" i="6"/>
  <c r="I6" i="6"/>
  <c r="J6" i="6" s="1"/>
  <c r="I14" i="6"/>
  <c r="J14" i="6" s="1"/>
  <c r="I21" i="6"/>
  <c r="J21" i="6" s="1"/>
  <c r="I28" i="6"/>
  <c r="J28" i="6" s="1"/>
  <c r="I36" i="6"/>
  <c r="J36" i="6" s="1"/>
  <c r="I44" i="6"/>
  <c r="J44" i="6" s="1"/>
  <c r="I7" i="6"/>
  <c r="J7" i="6" s="1"/>
  <c r="I15" i="6"/>
  <c r="J15" i="6" s="1"/>
  <c r="I22" i="6"/>
  <c r="J22" i="6" s="1"/>
  <c r="I29" i="6"/>
  <c r="J29" i="6" s="1"/>
  <c r="I37" i="6"/>
  <c r="J37" i="6" s="1"/>
  <c r="I45" i="6"/>
  <c r="J45" i="6" s="1"/>
  <c r="I8" i="6"/>
  <c r="J8" i="6" s="1"/>
  <c r="I16" i="6"/>
  <c r="J16" i="6" s="1"/>
  <c r="I23" i="6"/>
  <c r="J23" i="6" s="1"/>
  <c r="I30" i="6"/>
  <c r="J30" i="6" s="1"/>
  <c r="I38" i="6"/>
  <c r="J38" i="6" s="1"/>
  <c r="I2" i="6"/>
  <c r="J2" i="6" s="1"/>
  <c r="I9" i="6"/>
  <c r="J9" i="6" s="1"/>
  <c r="I17" i="6"/>
  <c r="J17" i="6" s="1"/>
  <c r="I31" i="6"/>
  <c r="J31" i="6" s="1"/>
  <c r="I39" i="6"/>
  <c r="J39" i="6" s="1"/>
  <c r="B14" i="6"/>
  <c r="I10" i="6"/>
  <c r="J10" i="6" s="1"/>
  <c r="I18" i="6"/>
  <c r="J18" i="6" s="1"/>
  <c r="I24" i="6"/>
  <c r="J24" i="6" s="1"/>
  <c r="I32" i="6"/>
  <c r="J32" i="6" s="1"/>
  <c r="I40" i="6"/>
  <c r="J40" i="6" s="1"/>
  <c r="B24" i="6"/>
  <c r="G41" i="6"/>
  <c r="G40" i="6"/>
  <c r="G32" i="6"/>
  <c r="G24" i="6"/>
  <c r="G18" i="6"/>
  <c r="G10" i="6"/>
  <c r="G2" i="6"/>
  <c r="F10" i="6"/>
  <c r="F18" i="6"/>
  <c r="F24" i="6"/>
  <c r="F32" i="6"/>
  <c r="F40" i="6"/>
  <c r="G29" i="6"/>
  <c r="G7" i="6"/>
  <c r="F27" i="6"/>
  <c r="G28" i="6"/>
  <c r="G14" i="6"/>
  <c r="F14" i="6"/>
  <c r="F36" i="6"/>
  <c r="G27" i="6"/>
  <c r="G5" i="6"/>
  <c r="F22" i="6"/>
  <c r="F45" i="6"/>
  <c r="G34" i="6"/>
  <c r="G20" i="6"/>
  <c r="F8" i="6"/>
  <c r="F30" i="6"/>
  <c r="G33" i="6"/>
  <c r="G11" i="6"/>
  <c r="F17" i="6"/>
  <c r="G39" i="6"/>
  <c r="G31" i="6"/>
  <c r="G17" i="6"/>
  <c r="G9" i="6"/>
  <c r="F3" i="6"/>
  <c r="F11" i="6"/>
  <c r="F19" i="6"/>
  <c r="F25" i="6"/>
  <c r="F33" i="6"/>
  <c r="F41" i="6"/>
  <c r="G37" i="6"/>
  <c r="G15" i="6"/>
  <c r="F5" i="6"/>
  <c r="F43" i="6"/>
  <c r="G44" i="6"/>
  <c r="G21" i="6"/>
  <c r="F6" i="6"/>
  <c r="F28" i="6"/>
  <c r="G35" i="6"/>
  <c r="G13" i="6"/>
  <c r="F7" i="6"/>
  <c r="F29" i="6"/>
  <c r="G26" i="6"/>
  <c r="G4" i="6"/>
  <c r="F23" i="6"/>
  <c r="F2" i="6"/>
  <c r="G19" i="6"/>
  <c r="F9" i="6"/>
  <c r="F39" i="6"/>
  <c r="G38" i="6"/>
  <c r="G30" i="6"/>
  <c r="G23" i="6"/>
  <c r="G16" i="6"/>
  <c r="G8" i="6"/>
  <c r="F4" i="6"/>
  <c r="F12" i="6"/>
  <c r="F20" i="6"/>
  <c r="F26" i="6"/>
  <c r="F34" i="6"/>
  <c r="F42" i="6"/>
  <c r="G45" i="6"/>
  <c r="G22" i="6"/>
  <c r="F13" i="6"/>
  <c r="F35" i="6"/>
  <c r="G36" i="6"/>
  <c r="G6" i="6"/>
  <c r="F21" i="6"/>
  <c r="F44" i="6"/>
  <c r="G43" i="6"/>
  <c r="F15" i="6"/>
  <c r="F37" i="6"/>
  <c r="G42" i="6"/>
  <c r="G12" i="6"/>
  <c r="F16" i="6"/>
  <c r="F38" i="6"/>
  <c r="G25" i="6"/>
  <c r="G3" i="6"/>
  <c r="F31" i="6"/>
  <c r="K24" i="6" l="1"/>
  <c r="G30" i="5" s="1"/>
  <c r="K29" i="6"/>
  <c r="K36" i="6"/>
  <c r="K14" i="6"/>
  <c r="K9" i="6"/>
  <c r="K6" i="6"/>
  <c r="K35" i="6"/>
  <c r="K19" i="6"/>
  <c r="K23" i="6"/>
  <c r="K40" i="6"/>
  <c r="K10" i="6"/>
  <c r="K7" i="6"/>
  <c r="K44" i="6"/>
  <c r="K20" i="6"/>
  <c r="K38" i="6"/>
  <c r="K3" i="6"/>
  <c r="K8" i="6"/>
  <c r="K30" i="6"/>
  <c r="K37" i="6"/>
  <c r="K25" i="6"/>
  <c r="K45" i="6"/>
  <c r="K11" i="6"/>
  <c r="K4" i="6"/>
  <c r="K12" i="6"/>
  <c r="K32" i="6"/>
  <c r="K41" i="6"/>
  <c r="K17" i="6"/>
  <c r="K15" i="6"/>
  <c r="K28" i="6"/>
  <c r="K39" i="6"/>
  <c r="K27" i="6"/>
  <c r="K5" i="6"/>
  <c r="K33" i="6"/>
  <c r="K42" i="6"/>
  <c r="K22" i="6"/>
  <c r="K2" i="6"/>
  <c r="K31" i="6"/>
  <c r="K13" i="6"/>
  <c r="K34" i="6"/>
  <c r="K43" i="6"/>
  <c r="K18" i="6"/>
  <c r="K16" i="6"/>
  <c r="K26" i="6"/>
  <c r="K21" i="6"/>
  <c r="H37" i="6"/>
  <c r="H17" i="6"/>
  <c r="H30" i="6"/>
  <c r="H2" i="6"/>
  <c r="H10" i="6"/>
  <c r="H44" i="6"/>
  <c r="H6" i="6"/>
  <c r="H7" i="6"/>
  <c r="H42" i="6"/>
  <c r="H36" i="6"/>
  <c r="H11" i="6"/>
  <c r="H5" i="6"/>
  <c r="H29" i="6"/>
  <c r="H18" i="6"/>
  <c r="H12" i="6"/>
  <c r="H38" i="6"/>
  <c r="H13" i="6"/>
  <c r="H33" i="6"/>
  <c r="H27" i="6"/>
  <c r="H24" i="6"/>
  <c r="H3" i="6"/>
  <c r="H8" i="6"/>
  <c r="H26" i="6"/>
  <c r="H39" i="6"/>
  <c r="H19" i="6"/>
  <c r="H35" i="6"/>
  <c r="H15" i="6"/>
  <c r="H9" i="6"/>
  <c r="H32" i="6"/>
  <c r="H40" i="6"/>
  <c r="H22" i="6"/>
  <c r="H25" i="6"/>
  <c r="H45" i="6"/>
  <c r="H20" i="6"/>
  <c r="H14" i="6"/>
  <c r="H43" i="6"/>
  <c r="H16" i="6"/>
  <c r="H23" i="6"/>
  <c r="H4" i="6"/>
  <c r="H21" i="6"/>
  <c r="H31" i="6"/>
  <c r="H34" i="6"/>
  <c r="H28" i="6"/>
  <c r="H41" i="6"/>
  <c r="E30" i="5" l="1"/>
  <c r="E26" i="5"/>
  <c r="G26" i="5"/>
  <c r="E28" i="5"/>
  <c r="G28" i="5"/>
  <c r="G34" i="5"/>
  <c r="E34" i="5"/>
  <c r="E32" i="5"/>
  <c r="G32" i="5"/>
  <c r="F56" i="3"/>
  <c r="F48" i="3"/>
  <c r="F40" i="3"/>
  <c r="F32" i="3"/>
  <c r="F24" i="3"/>
  <c r="F55" i="3"/>
  <c r="F47" i="3"/>
  <c r="F39" i="3"/>
  <c r="F31" i="3"/>
  <c r="F23" i="3"/>
  <c r="F34" i="3"/>
  <c r="F62" i="3"/>
  <c r="F54" i="3"/>
  <c r="F46" i="3"/>
  <c r="F38" i="3"/>
  <c r="F30" i="3"/>
  <c r="F22" i="3"/>
  <c r="F53" i="3"/>
  <c r="F45" i="3"/>
  <c r="F37" i="3"/>
  <c r="F29" i="3"/>
  <c r="F57" i="3"/>
  <c r="F33" i="3"/>
  <c r="F61" i="3"/>
  <c r="F21" i="3"/>
  <c r="F58" i="3"/>
  <c r="F50" i="3"/>
  <c r="F26" i="3"/>
  <c r="F60" i="3"/>
  <c r="F52" i="3"/>
  <c r="F44" i="3"/>
  <c r="F36" i="3"/>
  <c r="F28" i="3"/>
  <c r="F20" i="3"/>
  <c r="F25" i="3"/>
  <c r="F59" i="3"/>
  <c r="F51" i="3"/>
  <c r="F43" i="3"/>
  <c r="F35" i="3"/>
  <c r="F27" i="3"/>
  <c r="F19" i="3"/>
  <c r="F42" i="3"/>
  <c r="F49" i="3"/>
  <c r="F41" i="3"/>
  <c r="E56" i="3"/>
  <c r="E40" i="3"/>
  <c r="E55" i="3"/>
  <c r="E47" i="3"/>
  <c r="E39" i="3"/>
  <c r="E31" i="3"/>
  <c r="E23" i="3"/>
  <c r="E51" i="3"/>
  <c r="E27" i="3"/>
  <c r="E58" i="3"/>
  <c r="E26" i="3"/>
  <c r="E57" i="3"/>
  <c r="E25" i="3"/>
  <c r="E24" i="3"/>
  <c r="E62" i="3"/>
  <c r="E54" i="3"/>
  <c r="E46" i="3"/>
  <c r="E38" i="3"/>
  <c r="E30" i="3"/>
  <c r="E22" i="3"/>
  <c r="E60" i="3"/>
  <c r="E20" i="3"/>
  <c r="E43" i="3"/>
  <c r="E50" i="3"/>
  <c r="E34" i="3"/>
  <c r="E49" i="3"/>
  <c r="E48" i="3"/>
  <c r="E61" i="3"/>
  <c r="E53" i="3"/>
  <c r="E45" i="3"/>
  <c r="E37" i="3"/>
  <c r="E29" i="3"/>
  <c r="E21" i="3"/>
  <c r="E52" i="3"/>
  <c r="E44" i="3"/>
  <c r="E36" i="3"/>
  <c r="E28" i="3"/>
  <c r="E59" i="3"/>
  <c r="E35" i="3"/>
  <c r="E19" i="3"/>
  <c r="E42" i="3"/>
  <c r="E41" i="3"/>
  <c r="E33" i="3"/>
  <c r="E32" i="3"/>
  <c r="I61" i="3" l="1"/>
  <c r="G61" i="3"/>
  <c r="I59" i="3"/>
  <c r="G59" i="3"/>
  <c r="I45" i="3"/>
  <c r="G45" i="3"/>
  <c r="G20" i="3"/>
  <c r="I20" i="3"/>
  <c r="G24" i="3"/>
  <c r="I24" i="3"/>
  <c r="I31" i="3"/>
  <c r="G31" i="3"/>
  <c r="I32" i="3"/>
  <c r="G32" i="3"/>
  <c r="G28" i="3"/>
  <c r="I28" i="3"/>
  <c r="I53" i="3"/>
  <c r="G53" i="3"/>
  <c r="I60" i="3"/>
  <c r="G60" i="3"/>
  <c r="G25" i="3"/>
  <c r="I25" i="3"/>
  <c r="I39" i="3"/>
  <c r="G39" i="3"/>
  <c r="G22" i="3"/>
  <c r="I22" i="3"/>
  <c r="I57" i="3"/>
  <c r="G57" i="3"/>
  <c r="I47" i="3"/>
  <c r="G47" i="3"/>
  <c r="I33" i="3"/>
  <c r="G33" i="3"/>
  <c r="I44" i="3"/>
  <c r="G44" i="3"/>
  <c r="I48" i="3"/>
  <c r="G48" i="3"/>
  <c r="I30" i="3"/>
  <c r="G30" i="3"/>
  <c r="G26" i="3"/>
  <c r="I26" i="3"/>
  <c r="I55" i="3"/>
  <c r="G55" i="3"/>
  <c r="I41" i="3"/>
  <c r="G41" i="3"/>
  <c r="I52" i="3"/>
  <c r="G52" i="3"/>
  <c r="I49" i="3"/>
  <c r="G49" i="3"/>
  <c r="I38" i="3"/>
  <c r="G38" i="3"/>
  <c r="I58" i="3"/>
  <c r="G58" i="3"/>
  <c r="I42" i="3"/>
  <c r="G42" i="3"/>
  <c r="G21" i="3"/>
  <c r="I21" i="3"/>
  <c r="I34" i="3"/>
  <c r="G34" i="3"/>
  <c r="I46" i="3"/>
  <c r="G46" i="3"/>
  <c r="I27" i="3"/>
  <c r="G27" i="3"/>
  <c r="I40" i="3"/>
  <c r="G40" i="3"/>
  <c r="I36" i="3"/>
  <c r="G36" i="3"/>
  <c r="I19" i="3"/>
  <c r="G19" i="3"/>
  <c r="G29" i="3"/>
  <c r="I29" i="3"/>
  <c r="I50" i="3"/>
  <c r="G50" i="3"/>
  <c r="I54" i="3"/>
  <c r="G54" i="3"/>
  <c r="I51" i="3"/>
  <c r="G51" i="3"/>
  <c r="I56" i="3"/>
  <c r="G56" i="3"/>
  <c r="I35" i="3"/>
  <c r="G35" i="3"/>
  <c r="I37" i="3"/>
  <c r="G37" i="3"/>
  <c r="I43" i="3"/>
  <c r="G43" i="3"/>
  <c r="I62" i="3"/>
  <c r="G62" i="3"/>
  <c r="G23" i="3"/>
  <c r="I23" i="3"/>
  <c r="J41" i="3" l="1"/>
  <c r="J53" i="3"/>
  <c r="J46" i="3"/>
  <c r="J31" i="3"/>
  <c r="J19" i="3"/>
  <c r="M8" i="5" l="1"/>
</calcChain>
</file>

<file path=xl/sharedStrings.xml><?xml version="1.0" encoding="utf-8"?>
<sst xmlns="http://schemas.openxmlformats.org/spreadsheetml/2006/main" count="513" uniqueCount="243">
  <si>
    <t>EVALUACIÓN INDEPENDIENTE SISTEMA DE CONTROL INTERNO
Entidades Pequeñas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</si>
  <si>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 La estructura propuesta es diferencial para aquellas entidades de municipios de 6a categoría (Personerías y Concejos Municipales) que son entidades con 1 y hasta 5 servidores en sus plantas de personal. Estas entidades deben tener en cuenta que de acuerdo con el parágrafo del artículo ARTÍCULO 2.2.22.2.1. del Decreto 1499 de 2017, las políticas de gestión y desempeño contenidas en el Modelo Integrado de Planeación y Gestión MIPG, deben ser aplicadas acorde con las normas que las regulan, por lo que deben analizar dichas políticas e implementarlas en armonía con el MECI.</t>
  </si>
  <si>
    <t>Orientaciones Generales</t>
  </si>
  <si>
    <r>
      <t xml:space="preserve">El archivo contiene las siguientes hojas:
 -  1 </t>
    </r>
    <r>
      <rPr>
        <b/>
        <sz val="11"/>
        <rFont val="Arial Narrow"/>
        <family val="2"/>
      </rPr>
      <t xml:space="preserve">Pestaña que desarrolla la estructura para evaluar el estado del Sistema de Control Interno: </t>
    </r>
    <r>
      <rPr>
        <sz val="11"/>
        <rFont val="Arial Narrow"/>
        <family val="2"/>
      </rPr>
      <t xml:space="preserve">Se desagrega en </t>
    </r>
    <r>
      <rPr>
        <sz val="10"/>
        <rFont val="Arial Narrow"/>
        <family val="2"/>
      </rPr>
      <t>"Ambiente de Control", "Evaluación de riesgos", "Actividades de control", "Información y Comunicación", y " Actividades de Monitoreo", componentes actuales del Modelo Estándar de Control Interno MECI. La estructura es la siguiente para el diligenciamiento:</t>
    </r>
  </si>
  <si>
    <t>Columna</t>
  </si>
  <si>
    <t>Descripción</t>
  </si>
  <si>
    <t>Componente del MECI asociado</t>
  </si>
  <si>
    <t>Esta columna define los componentes del MECI.</t>
  </si>
  <si>
    <t>Lineamiento General por Componente</t>
  </si>
  <si>
    <t>En esta columna establece el lineamientos general para cada uno de los componentes del MECI</t>
  </si>
  <si>
    <t>Requerimiento Asociado al Componente</t>
  </si>
  <si>
    <t>Se muestran una serie de preguntas con 3 opciones de respuesta así:
1. SI
2.NO
3. EN PROCESO</t>
  </si>
  <si>
    <t>Evidencia de Seguimiento al Control</t>
  </si>
  <si>
    <t>Establezca actividades adelantadas de aplicación del documento o elemento antes identificado (esto cuando se responde SI o bien EN PROCESO)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</si>
  <si>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consolidar los resultados para cada componente evaluado.</t>
    </r>
  </si>
  <si>
    <t xml:space="preserve">Clasificación </t>
  </si>
  <si>
    <t>Observaciones del Control</t>
  </si>
  <si>
    <t>Mantenimiento del Control</t>
  </si>
  <si>
    <t>Existe requerimiento pero se requiere actividades  dirigidas a su mantenimiento dentro del marco de las lineas de defensa.</t>
  </si>
  <si>
    <t>Oportunidad de Mejora</t>
  </si>
  <si>
    <t>Se encuentra en proceso, pero requiere continuar con acciones dirigidas a contar con dicho aspecto de control</t>
  </si>
  <si>
    <t xml:space="preserve">Deficiencia del Control 
</t>
  </si>
  <si>
    <t>No se encuentra el aspecto  por lo tanto la entidad debera generar acciones dirigidas a que se cumpla con el requerimiento .</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</si>
  <si>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el estado del Sistema de Control Interno evaluado, información a partir de la cual se definen las acciones de mejora correspondientes. Esta hoja será el informe para publicación en página web, o bien para ubicar en un lugar visible en la sede de la entidad (esto para aquellas que no cuentan con conectividad o página web en operación).</t>
    </r>
  </si>
  <si>
    <t>MEDICION ESTADO DEL SISTEMA DE CONTROL INTERNO EN LA ENTIDAD</t>
  </si>
  <si>
    <t xml:space="preserve">No. </t>
  </si>
  <si>
    <t>Literal</t>
  </si>
  <si>
    <t>Requerimiento asociado al componente</t>
  </si>
  <si>
    <t>Seguimiento al control (Si, No, En proceso)</t>
  </si>
  <si>
    <t>Evidencia de seguimiento al control
(Establezca actividades adelantadas de aplicación del documento o elemento antes identificado, esto cuando se responde SI o bien EN PROCESO</t>
  </si>
  <si>
    <t>Evaluación</t>
  </si>
  <si>
    <t>1</t>
  </si>
  <si>
    <t>AMBIENTE DE CONTROL</t>
  </si>
  <si>
    <t>El ambiente de control institucional está integrado por todas esas condiciones mínimas que debe garantizar cualquier entidad pública para el ejercicio del control interno. Para el caso de su entidad indique si se cuenta con:</t>
  </si>
  <si>
    <t>a</t>
  </si>
  <si>
    <t>Documento interno o adopción del MECI actualizado</t>
  </si>
  <si>
    <t>No</t>
  </si>
  <si>
    <t>b</t>
  </si>
  <si>
    <t>Un documento tal como un código de ética, integridad u otro que formalice los estándares de conducta, los principios institucionales o los valores del servicio público</t>
  </si>
  <si>
    <t>Si</t>
  </si>
  <si>
    <t>c</t>
  </si>
  <si>
    <t>Planes, programas y proyectos de acuerdo con las normas que rigen y atendiendo con su propósito fundamental institucional (misión)</t>
  </si>
  <si>
    <t>d</t>
  </si>
  <si>
    <t>Una estructura organizacional formalizada (organigrama)</t>
  </si>
  <si>
    <t>e</t>
  </si>
  <si>
    <t>Un manual de funciones que describa los empleos de la entidad</t>
  </si>
  <si>
    <t>f</t>
  </si>
  <si>
    <t>La documentación de sus procesos y procedimientos o bien una lista de actividades principales que permitan conocer el estado de su gestión</t>
  </si>
  <si>
    <t>g</t>
  </si>
  <si>
    <t>Vinculación de los servidores públicos de acuerdo con el marco normativo que les rige (carrera administrativa, libre nombramiento y remoción, entre otros)</t>
  </si>
  <si>
    <t>h</t>
  </si>
  <si>
    <t>Procesos de inducción, capacitación y bienestar social para sus servidores públicos, de manera directa o en asociación con otras entidades municipales</t>
  </si>
  <si>
    <t>i</t>
  </si>
  <si>
    <t>Evaluación a los servidores públicos de acuerdo con el marco normativo que le rige</t>
  </si>
  <si>
    <t>j</t>
  </si>
  <si>
    <t>Procesos de desvinculación de servidores de acuerdo con lo previsto en la Constitución Política y las leyes</t>
  </si>
  <si>
    <t>k</t>
  </si>
  <si>
    <t>Mecanismos de rendición de cuentas a la ciudadanía</t>
  </si>
  <si>
    <t>l</t>
  </si>
  <si>
    <t>Presentación oportuna de sus informes de gestión a las autoridades competentes</t>
  </si>
  <si>
    <t>2</t>
  </si>
  <si>
    <t>EVALUACION DEL RIESGO</t>
  </si>
  <si>
    <t>Toda entidad debe identificar, evaluar y gestionar eventos potenciales, tanto internos como externos, que puedan afectar el logro de los objetivos institucionales. Para el caso de su entidad indique si se cuenta con:</t>
  </si>
  <si>
    <t>Identificación de cambios en su entorno que pueden generar consecuencias negativas en su gestión</t>
  </si>
  <si>
    <t>Identificación de aquellos problemas o aspectos que pueden afectar el cumplimiento de los planes de la entidad y en general su gestión institucional (riesgos)</t>
  </si>
  <si>
    <t>Identificación  de los riesgos relacionados con posibles actos de corrupción en el ejercicio de sus funciones</t>
  </si>
  <si>
    <t>Si su capacidad e infraestructura lo permite, identificación de riesgos asociados a las tecnologías de la información y las comunicaciones</t>
  </si>
  <si>
    <t>3</t>
  </si>
  <si>
    <t>Los líderes de los programas, proyectos, o procesos de la entidad  junto con sus equipos de trabajo:</t>
  </si>
  <si>
    <t>Hacen seguimiento a los problemas (riesgos)  que pueden afectar el cumplimiento de sus procesos, programas o proyectos a cargo</t>
  </si>
  <si>
    <t>Informan de manera periódica a quien corresponda sobre el desempeño de las actividades de gestión de riesgos</t>
  </si>
  <si>
    <t>Identifican deficiencias en las maneras de  controlar los riesgos o problemas en sus procesos, programas o proyectos, y propone los ajustes necesarios</t>
  </si>
  <si>
    <t>4</t>
  </si>
  <si>
    <t>Para el manejo de los problemas que afectan el cumplimiento de las metas u objetivos institucionales (riesgos), el jefe de control interno o quien haga sus veces, ha podido evidenciar si en la entidad:</t>
  </si>
  <si>
    <t>Se definen espacios de reunión para conocerlos y proponer acciones para su solución</t>
  </si>
  <si>
    <t>Cada líder del equipo autónomamente toma las acciones para solucionarlos.</t>
  </si>
  <si>
    <t>Solamente hasta que un organismo de control actúa se definen acciones de mejora.</t>
  </si>
  <si>
    <t>5</t>
  </si>
  <si>
    <t>ACTIVIDADES DE CONTROL</t>
  </si>
  <si>
    <t>Una vez identificados los problemas que afectan el cumplimiento de los planes de la entidad o su gestión institucional, la entidad debe diseñar los controles o mecanismos para darles tratamiento. Para el caso de su entidad indique si se cuenta con:</t>
  </si>
  <si>
    <t>La definición de acciones o actividades para para dar tratamiento a los problemas identificados (mitigación de riesgos), incluyendo aquellos asociados a posibles actos de corrupción</t>
  </si>
  <si>
    <t>Mecanismos de verificación de si se están o no mitigando los riesgos, o en su defecto, elaboración de planes de contingencia para subsanar sus consecuencias</t>
  </si>
  <si>
    <t>Planes, acciones o estrategias que permitan subsanar las consecuencias de la materialización de los riesgos, cuando se presentan</t>
  </si>
  <si>
    <t>Un documento que consolide  los riesgos  y el tratamiento que se les da, incluyendo aquellos que conllevan posibles actos de corrupción y si la capacidad e infraestructura lo permite, los asociados con las tecnologías de la información y las comunicaciones</t>
  </si>
  <si>
    <t>Un plan anticorrupción y de servicio al ciudadano con los temas que le aplican, publicado en algún medio para conocimiento de la ciudadanía</t>
  </si>
  <si>
    <t>6</t>
  </si>
  <si>
    <t>INFORMACION Y COMUNICACIÓN</t>
  </si>
  <si>
    <t>Las entidades deben procurar, de acuerdo con sus propias capacidades internas, que la información y la comunicación que requiere para su gestión y  control interno fluya de manera clara.  Acorde con lo anterior, indique si se cuenta con:</t>
  </si>
  <si>
    <t>Responsables de la información institucional</t>
  </si>
  <si>
    <t>Canales de comunicación con los ciudadanos</t>
  </si>
  <si>
    <t>Canales de comunicación o mecanismos de reporte de información a otros organismos gubernamentales o de control</t>
  </si>
  <si>
    <t xml:space="preserve">Lineamientos para dar tratamiento a la información de carácter reservado </t>
  </si>
  <si>
    <t>Identificación de información que produce en el marco de su gestión (Para los ciudadanos, organismos de control, organismos gubernamentales, entre otros)</t>
  </si>
  <si>
    <t>Identificación de información necesaria para la operación de la entidad (normograma, presupuesto, talento humano, infraestructura física y tecnológica)</t>
  </si>
  <si>
    <t>Si su capacidad e infraestructura lo permite, tecnologías de la información y las comunicaciones que soporten estos procesos</t>
  </si>
  <si>
    <t>7</t>
  </si>
  <si>
    <t>ACTIVIDADES DE MONITOREO</t>
  </si>
  <si>
    <t>Las entidades deben valorar: la eficiencia y eficacia de su gestión y la efectividad del control interno de la entidad pública con el propósito de detectar desviaciones y generar recomendaciones para la mejora. Para el caso de su entidad indique si se cuenta con:</t>
  </si>
  <si>
    <t>Mecanismos de evaluación de la gestión (cronogramas, indicadores, listas de chequeo u otros)</t>
  </si>
  <si>
    <t>Algún mecanismo para monitorear o supervisar el sistema de control interno institucional, ya sea por parte del representante legal, o del área de control interno (si la entidad cuenta con ella), o bien a través del Comité departamental o municipal de Auditoría.</t>
  </si>
  <si>
    <t>Medidas correctivas en caso de detectarse deficiencias en los ejercicios de evaluación, seguimiento o auditoría</t>
  </si>
  <si>
    <t>Seguimiento a los planes de mejoramiento suscritos con instancias de control internas o externas</t>
  </si>
  <si>
    <t>8</t>
  </si>
  <si>
    <t>¿La entidad ha solicitado hacer parte del Comité Municipal de Auditoría, a efectos de contar con un escenario para compartir buenas prácticas en materia de control interno, así como analizar la viabilidad de contar como mínimo con un proceso auditor en la vigencia?</t>
  </si>
  <si>
    <t>La entidad participa en el  Comité Municipal de Auditoría?</t>
  </si>
  <si>
    <t>9</t>
  </si>
  <si>
    <t>El jefe de control interno o quien haga sus veces, ha podido evidenciar si en la entidad el manejo que se ha hecho a los problemas que afectan el cumplimiento de sus metas y objetivos (riesgos) le ha permitido:</t>
  </si>
  <si>
    <t>Evitar que los problemas (riesgos) obstaculicen el cumplimiento de los objetivos.</t>
  </si>
  <si>
    <t>Controlar los puntos críticos en los procesos.</t>
  </si>
  <si>
    <t>Diseñar acciones adecuadas para controlar los problemas que afectan el cumplimiento de las metas y objetivos institucionales (riesgos).</t>
  </si>
  <si>
    <t>Ejecutar las acciones de acuerdo a como se diseñaron previamente.</t>
  </si>
  <si>
    <t>No se gestionan los problemas que afectan el cumplimiento de las funciones y objetivos institucionales(riesgos).</t>
  </si>
  <si>
    <t>ANÁLISIS DE RESULTADOS PARA LA TOMA DE DECISIONES</t>
  </si>
  <si>
    <t>Se encuentra en proceso, pero requiere continuar con acciones dirigidas a contar con dicho aspecto de control.</t>
  </si>
  <si>
    <t>Se encuentra presente  y funcionando, pero requiere mejoras frente a su diseño, ya que  opera de manera efectiva</t>
  </si>
  <si>
    <t>No se encuentra el aspecto  por lo tanto la entidad debera generar acciones dirigidas a que se cumpla con el requerimiento.</t>
  </si>
  <si>
    <t>RESULTADOS</t>
  </si>
  <si>
    <t>FUENTE DEL ANALISIS</t>
  </si>
  <si>
    <t xml:space="preserve">Seguimiento al control </t>
  </si>
  <si>
    <t>OBSERVACIONES DEL CONTROL</t>
  </si>
  <si>
    <t>NIVEL DE CUMPLIMIENTO-ASPECTOS PARTICULARES POR COMPONENTE</t>
  </si>
  <si>
    <t>NIVEL DE CUMPLIMIENTO COMPONENTE</t>
  </si>
  <si>
    <t>componente</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</si>
  <si>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</si>
  <si>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</si>
  <si>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</si>
  <si>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</si>
  <si>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</si>
  <si>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</si>
  <si>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</si>
  <si>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Componente</t>
  </si>
  <si>
    <t>¿se esta cumpliendo los requerimientos ?</t>
  </si>
  <si>
    <t>Nivel de Cumplimiento componente</t>
  </si>
  <si>
    <r>
      <rPr>
        <b/>
        <u/>
        <sz val="20"/>
        <color theme="0"/>
        <rFont val="Arial"/>
        <family val="2"/>
      </rPr>
      <t xml:space="preserve"> Estado actual:</t>
    </r>
    <r>
      <rPr>
        <b/>
        <sz val="20"/>
        <color theme="0"/>
        <rFont val="Arial"/>
        <family val="2"/>
      </rPr>
      <t xml:space="preserve"> Explicacion de las Debilidades y/o Fortalezas encontradas en cada componente</t>
    </r>
  </si>
  <si>
    <t>EVALUCION DEL RIESGO</t>
  </si>
  <si>
    <t>ACTIVIDADES DEL CONTROL</t>
  </si>
  <si>
    <t xml:space="preserve">ACTIVIDADES DE MONITOREO </t>
  </si>
  <si>
    <t xml:space="preserve">Evaluación </t>
  </si>
  <si>
    <t>Puntaje</t>
  </si>
  <si>
    <t xml:space="preserve">Orden </t>
  </si>
  <si>
    <t>Nivel de cumplimiento -Aaspectos particulares por componente</t>
  </si>
  <si>
    <t xml:space="preserve">Promedios </t>
  </si>
  <si>
    <t>1a</t>
  </si>
  <si>
    <t>1b</t>
  </si>
  <si>
    <t>1c</t>
  </si>
  <si>
    <t>1d</t>
  </si>
  <si>
    <t>1e</t>
  </si>
  <si>
    <t>1f</t>
  </si>
  <si>
    <t>1g</t>
  </si>
  <si>
    <t>1h</t>
  </si>
  <si>
    <t>1i</t>
  </si>
  <si>
    <t>1j</t>
  </si>
  <si>
    <t>1k</t>
  </si>
  <si>
    <t>1l</t>
  </si>
  <si>
    <t>2a</t>
  </si>
  <si>
    <t>La identificación de cambios en su entorno que pueden generar consecuencias negativas en su gestión</t>
  </si>
  <si>
    <t>2b</t>
  </si>
  <si>
    <t>La identificación de aquellos problemas o aspectos que pueden afectar el cumplimiento de los planes de la entidad y en general su gestión institucional (riesgos)</t>
  </si>
  <si>
    <t>2c</t>
  </si>
  <si>
    <t>La identificación  de los riesgos relacionados con posibles actos de corrupción en el ejercicio de sus funciones</t>
  </si>
  <si>
    <t>2d</t>
  </si>
  <si>
    <t>3a</t>
  </si>
  <si>
    <t>3b</t>
  </si>
  <si>
    <t>3c</t>
  </si>
  <si>
    <t>4a</t>
  </si>
  <si>
    <t>4b</t>
  </si>
  <si>
    <t>4c</t>
  </si>
  <si>
    <t>5a</t>
  </si>
  <si>
    <t>5b</t>
  </si>
  <si>
    <t>5c</t>
  </si>
  <si>
    <t>5d</t>
  </si>
  <si>
    <t>5e</t>
  </si>
  <si>
    <t>6a</t>
  </si>
  <si>
    <t>6b</t>
  </si>
  <si>
    <t>6c</t>
  </si>
  <si>
    <t>6d</t>
  </si>
  <si>
    <t>6e</t>
  </si>
  <si>
    <t>El jefe de control interno o quien haga sus veces, ha podido evidenciar si en la entidad si el manejo que se ha hecho a los problemas que afectan el cumplimiento de sus metas y objetivos (riesgos) le ha permitido:</t>
  </si>
  <si>
    <t>6f</t>
  </si>
  <si>
    <t>6g</t>
  </si>
  <si>
    <t>7a</t>
  </si>
  <si>
    <t>7d</t>
  </si>
  <si>
    <t>7f</t>
  </si>
  <si>
    <t>7g</t>
  </si>
  <si>
    <t>8h</t>
  </si>
  <si>
    <t>9a</t>
  </si>
  <si>
    <t>9b</t>
  </si>
  <si>
    <t>9c</t>
  </si>
  <si>
    <t>9d</t>
  </si>
  <si>
    <t>9e</t>
  </si>
  <si>
    <t>Si, se cuenta con planes, programas y proyectos de carácter misional</t>
  </si>
  <si>
    <t>Proximo a actualizarce</t>
  </si>
  <si>
    <t>Se cuenta con organigrama institucional formalizado y socializado</t>
  </si>
  <si>
    <t>Se cuenta con documento de adopción</t>
  </si>
  <si>
    <t>El fundamento de los documentos y procesos establecidos por la institución, son para realizar seguimiento de la gestión de los mismos</t>
  </si>
  <si>
    <t>Se cuenta con servidores públicos con vinculación formal de libre nombramiento y remoción</t>
  </si>
  <si>
    <t>Se cuenta con proceso documentado y evidencias del mismo</t>
  </si>
  <si>
    <t>Se cuenta con mecanismos especificos para la rendición de cuentas</t>
  </si>
  <si>
    <t xml:space="preserve">Se cuenta con mecanismo </t>
  </si>
  <si>
    <t>Se cuenta con buena oportunidad en la presentación de informes de ley</t>
  </si>
  <si>
    <t>No se han identificado cambios en el entorno</t>
  </si>
  <si>
    <t>Se realiza reporte inmediato a la Gerencia de aquellos problemas o aspectas que pueden afectar el cumplimiento de los planes institucionales</t>
  </si>
  <si>
    <t>Se cuenta con plan anticorrupción socializado y sus respectivos reportes trimestrales, no se ha materializado ninguno de los riesgos contemplados</t>
  </si>
  <si>
    <t>Si, se establecio plan de comunicaciones institucionales, relacionado con los canales de información entre los trabajadores y la institución para el reporte oportuno de todos los informes de ley en todas las areas y servicios</t>
  </si>
  <si>
    <t>Se realiza seguimiento de procesos a traves de los comites institucionales y herramientas como listas de chequeo</t>
  </si>
  <si>
    <t>Se delegan y asignan responsabilidades en los servicios según perfiles disponibles de talento humano</t>
  </si>
  <si>
    <t>Se establecen ajustes en las herramientas de seguimiento y a por medio de los comites institucionales</t>
  </si>
  <si>
    <t>La administración genero los espacios necesarios para escuchar a los trabajadores y lideres</t>
  </si>
  <si>
    <t>Los lideres de programa cumplen con las responsabilidades asignadas</t>
  </si>
  <si>
    <t>Se identifican riesgos y se trazan acciones de mejoramiento, independientemente de las auditorias externas</t>
  </si>
  <si>
    <t>Se ceuenta con plan anticorrupción y sus respectivos reportes trimestrales, de momento no se ha materializado ningun riesgo identificado, de igual manera se toman acciones preventivas</t>
  </si>
  <si>
    <t>Se realiza seguimeinto de procesos por medio de los informes del plan anticorrupción, seguimiento desde los comites institucionales y listas de chequeo</t>
  </si>
  <si>
    <t>Se ceuenta con plan anticorrupción pero de momento no se ha materializado ningun riesgo identificado</t>
  </si>
  <si>
    <t>Se cuenta con plan anticorrupción</t>
  </si>
  <si>
    <t>Se cuenta con plan anticorrupción y de servicio al ciudadano</t>
  </si>
  <si>
    <t>Se cuenta con responsables de manejo de información y publicación de la misma en los diferentes canales informativos de la ESE</t>
  </si>
  <si>
    <t>Buzon fisico y virtual del buzon de PQRS, Oficina SIAU, Pagina web institucional, Pagina oficial de Facebook y Twitter</t>
  </si>
  <si>
    <t xml:space="preserve">Se cuenta con los siguientes canales de comunicación: Buzon fisico y virtual del buzon de PQRS, Oficina SIAU, Pagina web institucional, Pagina oficial de Facebook y Twitter; adicionalmente para el reporte a entes de control se cuenta con correos electronicos y plataformas oficiales para el reporte de información </t>
  </si>
  <si>
    <t>Se cuenta con proceso docuementado y socializado "Plan de comunicaciones Institucional"</t>
  </si>
  <si>
    <t>Se realiza identificación de información que se genera en la institución en el marco de la gestión</t>
  </si>
  <si>
    <t>Se cuenta con normograma institucional aprobado por junta directiva, de igual manera el presupuesto, talento humano, infraestructura y tecnologia</t>
  </si>
  <si>
    <t>Se cuenta con canales de información basados en las tecnologias de la información y las comunicaciones</t>
  </si>
  <si>
    <t>Se cuenta con actividades programadas y asignadas a responsables con evidencia de entrega de las mismas y herramientas anexas</t>
  </si>
  <si>
    <t>Se cuenta con Comité Institucional de Control Interno, en el cual se realiza supervisión y seguimiento a los temas innherentes de Control Interno, adicionalmente el Asesor de Control Interno se encuentra vinculado al Comité departamental de Auditoria</t>
  </si>
  <si>
    <t>Durante los comités de Control Interno se toman medidas correctivas de ser requeridas, se plantean planes de mejoramiento y se programan actividades según decisiones del comité</t>
  </si>
  <si>
    <t>Se realiza seguimiento de los diferentes planes de mejoramiento institucionales</t>
  </si>
  <si>
    <t>El municipio de Cubará Boyacá no cuenta con Comité Municipal de Auditoria, por lo mismo no se participa, se cuenta con afiliación y participación del comité departamental de auditoria el cual esta compuesto por los Asesores de Control Interno de las diferentes instituciones</t>
  </si>
  <si>
    <t>Si, se plantean mesas de dialogo para resolución de conflictos evitando obstaculizar el cumplimiento de objetivos institucionales</t>
  </si>
  <si>
    <t>Si, se han documentado y definido diferentes procesos en la institución, por ejemplo proceso de contratación e inducción y reinducción de personal</t>
  </si>
  <si>
    <t>Se plantean diferentes cronogramas de actividades de auditoria y seguimiento para dar cumplimiento a los diversos planes institucionales</t>
  </si>
  <si>
    <t>Se realizan seguimiento para evaluar la efectividad de las medidas tomadas</t>
  </si>
  <si>
    <t>Todos los problemas institucionales que afecten los objetivos institucionales, son priorizados y resueltos</t>
  </si>
  <si>
    <t>ESE Hospital Especial de Cubará</t>
  </si>
  <si>
    <t>De momento han permitido realizar monitorización y seguimiento de los diferentes procesos, planes de mejoramiento, auditorias entre otros.</t>
  </si>
  <si>
    <t>Se evidencia una buena gestión de manera trasversal para todos los procesos institucionales, incluyendo las actividades puestas en marcha las que se encuentran en gestión y planificación</t>
  </si>
  <si>
    <t>Si se cuenta con las tres lineas de defensa según el MIPG</t>
  </si>
  <si>
    <t>Se cuenta con el apoyo de la Administración y la Gerencia de la ESE Hospital Especial de Cubará</t>
  </si>
  <si>
    <t>Se cuenta con plan anticorrupción que nos permite monitorizar los riesgos que se pueden materializar en la institución, despues de realizados los ultimos reportes de seguimiento se constata que no se han materializado riesgos de corrupción, entre otro riesgos institucionales</t>
  </si>
  <si>
    <t>Se cuenta con plan de auditorias, cronogramas de ejecución de actividades y listas de chequeo para realizar los respectivos seguimientos</t>
  </si>
  <si>
    <t>Se cuenta con Plan de Comunicaciones Institucional, lo cual facilita el flujo de información, forteleciendonos en las tecnologias de la información y diferentes canales de comunucación institucional</t>
  </si>
  <si>
    <t>Se programan auditorias de monitoreo para el seguimiento de actividades y diferentes cronogramas de ejecución de actividades</t>
  </si>
  <si>
    <t>Se cuenta con Codigo de Etica Institucional</t>
  </si>
  <si>
    <t>Primer semestre año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</si>
</sst>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8" x14ac:knownFonts="1">
    <font>
      <sz val="11"/>
      <color theme="1"/>
      <name val="Calibri"/>
      <family val="2"/>
      <scheme val="minor"/>
    </font>
    <font>
      <b/>
      <sz val="12"/>
      <name val="Arial"/>
      <family val="2"/>
    </font>
    <font>
      <sz val="11"/>
      <color theme="1"/>
      <name val="Calibri"/>
      <family val="2"/>
      <scheme val="minor"/>
    </font>
    <font>
      <sz val="11"/>
      <color theme="0"/>
      <name val="Calibri"/>
      <family val="2"/>
      <scheme val="minor"/>
    </font>
    <font>
      <b/>
      <sz val="12"/>
      <color theme="0"/>
      <name val="Arial"/>
      <family val="2"/>
    </font>
    <font>
      <b/>
      <sz val="20"/>
      <color theme="0"/>
      <name val="Arial Narrow"/>
      <family val="2"/>
    </font>
    <font>
      <sz val="11"/>
      <color theme="1"/>
      <name val="Arial Narrow"/>
      <family val="2"/>
    </font>
    <font>
      <sz val="11"/>
      <color theme="0"/>
      <name val="Arial Narrow"/>
      <family val="2"/>
    </font>
    <font>
      <b/>
      <sz val="18"/>
      <color theme="0"/>
      <name val="Arial"/>
      <family val="2"/>
    </font>
    <font>
      <sz val="20"/>
      <color rgb="FFFF0000"/>
      <name val="Arial"/>
      <family val="2"/>
    </font>
    <font>
      <b/>
      <sz val="12"/>
      <color rgb="FFFF0000"/>
      <name val="Arial"/>
      <family val="2"/>
    </font>
    <font>
      <b/>
      <sz val="10"/>
      <color rgb="FFFF0000"/>
      <name val="Arial"/>
      <family val="2"/>
    </font>
    <font>
      <b/>
      <sz val="10"/>
      <color theme="1"/>
      <name val="Arial"/>
      <family val="2"/>
    </font>
    <font>
      <b/>
      <sz val="16"/>
      <color theme="1"/>
      <name val="Arial"/>
      <family val="2"/>
    </font>
    <font>
      <b/>
      <i/>
      <sz val="10"/>
      <name val="Arial"/>
      <family val="2"/>
    </font>
    <font>
      <b/>
      <i/>
      <sz val="10"/>
      <color theme="1"/>
      <name val="Arial"/>
      <family val="2"/>
    </font>
    <font>
      <b/>
      <sz val="16"/>
      <color theme="0"/>
      <name val="Arial Narrow"/>
      <family val="2"/>
    </font>
    <font>
      <b/>
      <sz val="12"/>
      <color theme="0"/>
      <name val="Arial Narrow"/>
      <family val="2"/>
    </font>
    <font>
      <b/>
      <sz val="10"/>
      <color theme="0"/>
      <name val="Arial Narrow"/>
      <family val="2"/>
    </font>
    <font>
      <sz val="12"/>
      <color theme="1"/>
      <name val="Arial"/>
      <family val="2"/>
    </font>
    <font>
      <sz val="10"/>
      <color theme="1"/>
      <name val="Calibri"/>
      <family val="2"/>
      <scheme val="minor"/>
    </font>
    <font>
      <sz val="10"/>
      <color theme="0"/>
      <name val="Arial Narrow"/>
      <family val="2"/>
    </font>
    <font>
      <sz val="14"/>
      <color theme="0"/>
      <name val="Arial"/>
      <family val="2"/>
    </font>
    <font>
      <sz val="10"/>
      <color theme="1"/>
      <name val="Arial Narrow"/>
      <family val="2"/>
    </font>
    <font>
      <b/>
      <sz val="11"/>
      <name val="Arial Narrow"/>
      <family val="2"/>
    </font>
    <font>
      <sz val="10"/>
      <name val="Arial Narrow"/>
      <family val="2"/>
    </font>
    <font>
      <sz val="16"/>
      <color theme="0"/>
      <name val="Calibri"/>
      <family val="2"/>
      <scheme val="minor"/>
    </font>
    <font>
      <b/>
      <sz val="18"/>
      <name val="Calibri"/>
      <family val="2"/>
      <scheme val="minor"/>
    </font>
    <font>
      <sz val="10"/>
      <name val="Arial"/>
      <family val="2"/>
    </font>
    <font>
      <b/>
      <sz val="14"/>
      <name val="Arial Narrow"/>
      <family val="2"/>
    </font>
    <font>
      <b/>
      <u/>
      <sz val="11"/>
      <name val="Arial Narrow"/>
      <family val="2"/>
    </font>
    <font>
      <b/>
      <sz val="10"/>
      <name val="Arial Narrow"/>
      <family val="2"/>
    </font>
    <font>
      <sz val="12"/>
      <name val="Times New Roman"/>
      <family val="1"/>
    </font>
    <font>
      <b/>
      <sz val="9"/>
      <name val="Arial Narrow"/>
      <family val="2"/>
    </font>
    <font>
      <sz val="9"/>
      <name val="Arial Narrow"/>
      <family val="2"/>
    </font>
    <font>
      <sz val="11"/>
      <name val="Arial Narrow"/>
      <family val="2"/>
    </font>
    <font>
      <b/>
      <sz val="10"/>
      <color theme="1"/>
      <name val="Arial Narrow"/>
      <family val="2"/>
    </font>
    <font>
      <sz val="15"/>
      <name val="Arial Narrow"/>
      <family val="2"/>
    </font>
    <font>
      <sz val="15"/>
      <color theme="1"/>
      <name val="Arial Narrow"/>
      <family val="2"/>
    </font>
    <font>
      <sz val="8"/>
      <name val="Calibri"/>
      <family val="2"/>
      <scheme val="minor"/>
    </font>
    <font>
      <b/>
      <sz val="18"/>
      <color theme="1"/>
      <name val="Calibri"/>
      <family val="2"/>
      <scheme val="minor"/>
    </font>
    <font>
      <b/>
      <sz val="20"/>
      <name val="Arial"/>
      <family val="2"/>
    </font>
    <font>
      <sz val="18"/>
      <name val="Arial Narrow"/>
      <family val="2"/>
    </font>
    <font>
      <sz val="12"/>
      <color theme="0"/>
      <name val="Arial Narrow"/>
      <family val="2"/>
    </font>
    <font>
      <b/>
      <sz val="14"/>
      <color theme="0"/>
      <name val="Arial Narrow"/>
      <family val="2"/>
    </font>
    <font>
      <sz val="12"/>
      <name val="Arial Narrow"/>
      <family val="2"/>
    </font>
    <font>
      <sz val="12"/>
      <color theme="1"/>
      <name val="Arial Narrow"/>
      <family val="2"/>
    </font>
    <font>
      <sz val="14"/>
      <color theme="1"/>
      <name val="Calibri"/>
      <family val="2"/>
      <scheme val="minor"/>
    </font>
    <font>
      <b/>
      <sz val="14"/>
      <name val="Arial"/>
      <family val="2"/>
    </font>
    <font>
      <sz val="18"/>
      <color theme="1"/>
      <name val="Arial"/>
      <family val="2"/>
    </font>
    <font>
      <b/>
      <sz val="24"/>
      <color theme="0"/>
      <name val="Arial Narrow"/>
      <family val="2"/>
    </font>
    <font>
      <b/>
      <sz val="20"/>
      <color theme="0"/>
      <name val="Arial"/>
      <family val="2"/>
    </font>
    <font>
      <sz val="20"/>
      <color theme="1"/>
      <name val="Calibri"/>
      <family val="2"/>
      <scheme val="minor"/>
    </font>
    <font>
      <b/>
      <u/>
      <sz val="20"/>
      <color theme="0"/>
      <name val="Arial"/>
      <family val="2"/>
    </font>
    <font>
      <sz val="25"/>
      <color theme="1"/>
      <name val="Calibri"/>
      <family val="2"/>
      <scheme val="minor"/>
    </font>
    <font>
      <sz val="25"/>
      <color theme="1"/>
      <name val="Arial Narrow"/>
      <family val="2"/>
    </font>
    <font>
      <sz val="12"/>
      <name val="Arial"/>
      <family val="2"/>
    </font>
    <font>
      <sz val="8"/>
      <name val="Arial"/>
      <family val="2"/>
    </font>
  </fonts>
  <fills count="17">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9" tint="0.39997558519241921"/>
        <bgColor indexed="64"/>
      </patternFill>
    </fill>
  </fills>
  <borders count="94">
    <border>
      <left/>
      <right/>
      <top/>
      <bottom/>
      <diagonal/>
    </border>
    <border>
      <left/>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auto="1"/>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top style="medium">
        <color indexed="64"/>
      </top>
      <bottom style="thin">
        <color indexed="64"/>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5">
    <xf numFmtId="0" fontId="0" fillId="0" borderId="0"/>
    <xf numFmtId="9" fontId="2" fillId="0" borderId="0" applyFont="0" applyFill="0" applyBorder="0" applyAlignment="0" applyProtection="0"/>
    <xf numFmtId="0" fontId="20" fillId="0" borderId="0"/>
    <xf numFmtId="0" fontId="28" fillId="0" borderId="0"/>
    <xf numFmtId="0" fontId="32" fillId="0" borderId="0"/>
  </cellStyleXfs>
  <cellXfs count="343">
    <xf numFmtId="0" fontId="0" fillId="0" borderId="0" xfId="0"/>
    <xf numFmtId="0" fontId="0" fillId="4" borderId="0" xfId="0" applyFill="1"/>
    <xf numFmtId="0" fontId="0" fillId="4" borderId="17" xfId="0" applyFill="1" applyBorder="1"/>
    <xf numFmtId="0" fontId="0" fillId="4" borderId="18" xfId="0" applyFill="1" applyBorder="1"/>
    <xf numFmtId="0" fontId="0" fillId="4" borderId="19" xfId="0" applyFill="1" applyBorder="1"/>
    <xf numFmtId="0" fontId="0" fillId="4" borderId="20" xfId="0" applyFill="1" applyBorder="1"/>
    <xf numFmtId="0" fontId="0" fillId="4" borderId="0" xfId="0" applyFill="1" applyBorder="1"/>
    <xf numFmtId="0" fontId="6" fillId="4" borderId="0" xfId="0" applyFont="1" applyFill="1" applyBorder="1" applyAlignment="1">
      <alignment horizontal="center"/>
    </xf>
    <xf numFmtId="0" fontId="0" fillId="4" borderId="21" xfId="0" applyFill="1" applyBorder="1"/>
    <xf numFmtId="164" fontId="6" fillId="4" borderId="0" xfId="0" applyNumberFormat="1" applyFont="1" applyFill="1" applyBorder="1" applyAlignment="1">
      <alignment horizontal="center"/>
    </xf>
    <xf numFmtId="0" fontId="7" fillId="4" borderId="0" xfId="0" applyFont="1" applyFill="1" applyBorder="1" applyAlignment="1">
      <alignment vertical="center"/>
    </xf>
    <xf numFmtId="0" fontId="9" fillId="4" borderId="0" xfId="0" applyFont="1" applyFill="1" applyBorder="1" applyAlignment="1">
      <alignment horizontal="center" vertical="center"/>
    </xf>
    <xf numFmtId="0" fontId="10" fillId="4" borderId="0" xfId="0" applyFont="1" applyFill="1" applyBorder="1"/>
    <xf numFmtId="0" fontId="8" fillId="4" borderId="0" xfId="0" applyFont="1" applyFill="1" applyBorder="1" applyAlignment="1">
      <alignment horizontal="center" vertical="center"/>
    </xf>
    <xf numFmtId="0" fontId="1" fillId="4" borderId="30" xfId="0" applyFont="1" applyFill="1" applyBorder="1" applyAlignment="1">
      <alignment horizontal="center" vertical="center"/>
    </xf>
    <xf numFmtId="0" fontId="1" fillId="4" borderId="0" xfId="0" applyFont="1" applyFill="1" applyBorder="1" applyAlignment="1">
      <alignment horizontal="center" vertical="center"/>
    </xf>
    <xf numFmtId="0" fontId="11" fillId="4" borderId="0" xfId="0" applyFont="1" applyFill="1" applyBorder="1" applyAlignment="1">
      <alignment wrapText="1"/>
    </xf>
    <xf numFmtId="0" fontId="12" fillId="4" borderId="0" xfId="0" applyFont="1" applyFill="1" applyAlignment="1">
      <alignment wrapText="1"/>
    </xf>
    <xf numFmtId="0" fontId="0" fillId="0" borderId="0" xfId="0" applyBorder="1"/>
    <xf numFmtId="0" fontId="4" fillId="0" borderId="0" xfId="0" applyFont="1" applyFill="1" applyBorder="1" applyAlignment="1">
      <alignment vertical="center"/>
    </xf>
    <xf numFmtId="9" fontId="1" fillId="0" borderId="0" xfId="0" applyNumberFormat="1" applyFont="1" applyFill="1" applyBorder="1" applyAlignment="1">
      <alignment vertical="center"/>
    </xf>
    <xf numFmtId="0" fontId="1" fillId="4" borderId="21" xfId="0" applyFont="1" applyFill="1" applyBorder="1" applyAlignment="1">
      <alignment vertical="center"/>
    </xf>
    <xf numFmtId="0" fontId="1" fillId="4" borderId="0" xfId="0" applyFont="1" applyFill="1" applyBorder="1" applyAlignment="1">
      <alignment vertical="center"/>
    </xf>
    <xf numFmtId="0" fontId="0" fillId="0" borderId="0" xfId="0" applyFill="1" applyBorder="1"/>
    <xf numFmtId="0" fontId="0" fillId="0" borderId="3" xfId="0" applyBorder="1"/>
    <xf numFmtId="0" fontId="4" fillId="4" borderId="0" xfId="0" applyFont="1" applyFill="1" applyBorder="1" applyAlignment="1">
      <alignment vertical="center"/>
    </xf>
    <xf numFmtId="0" fontId="1" fillId="4" borderId="0" xfId="0" applyFont="1" applyFill="1" applyBorder="1" applyAlignment="1">
      <alignment horizontal="left" vertical="center"/>
    </xf>
    <xf numFmtId="0" fontId="14" fillId="4" borderId="0" xfId="0" applyFont="1" applyFill="1" applyBorder="1" applyAlignment="1">
      <alignment vertical="center"/>
    </xf>
    <xf numFmtId="0" fontId="15" fillId="4" borderId="0" xfId="0" applyFont="1" applyFill="1" applyBorder="1"/>
    <xf numFmtId="0" fontId="0" fillId="4" borderId="34" xfId="0" applyFill="1" applyBorder="1"/>
    <xf numFmtId="0" fontId="0" fillId="4" borderId="35" xfId="0" applyFill="1" applyBorder="1"/>
    <xf numFmtId="0" fontId="0" fillId="4" borderId="36" xfId="0" applyFill="1" applyBorder="1"/>
    <xf numFmtId="0" fontId="19" fillId="0" borderId="0" xfId="0" applyFont="1" applyBorder="1" applyAlignment="1">
      <alignment horizontal="center" wrapText="1"/>
    </xf>
    <xf numFmtId="0" fontId="4" fillId="4" borderId="0" xfId="0" applyFont="1" applyFill="1" applyBorder="1" applyAlignment="1">
      <alignment horizontal="center" vertical="center" wrapText="1"/>
    </xf>
    <xf numFmtId="0" fontId="3" fillId="4" borderId="0" xfId="0" applyFont="1" applyFill="1" applyBorder="1"/>
    <xf numFmtId="0" fontId="4" fillId="4" borderId="0" xfId="0" applyFont="1" applyFill="1" applyBorder="1" applyAlignment="1">
      <alignment horizontal="left" vertical="center"/>
    </xf>
    <xf numFmtId="9" fontId="4" fillId="4" borderId="0" xfId="0" applyNumberFormat="1" applyFont="1" applyFill="1" applyBorder="1" applyAlignment="1">
      <alignment horizontal="center" vertical="center"/>
    </xf>
    <xf numFmtId="0" fontId="3" fillId="4" borderId="0" xfId="0" applyFont="1" applyFill="1" applyBorder="1" applyAlignment="1">
      <alignment horizontal="left"/>
    </xf>
    <xf numFmtId="0" fontId="21" fillId="0" borderId="0" xfId="2" applyFont="1" applyFill="1" applyAlignment="1" applyProtection="1">
      <alignment vertical="center"/>
      <protection locked="0"/>
    </xf>
    <xf numFmtId="49" fontId="23" fillId="4" borderId="0" xfId="2" applyNumberFormat="1" applyFont="1" applyFill="1" applyAlignment="1" applyProtection="1">
      <alignment vertical="center"/>
      <protection locked="0"/>
    </xf>
    <xf numFmtId="0" fontId="23" fillId="4" borderId="0" xfId="2" applyFont="1" applyFill="1" applyAlignment="1" applyProtection="1">
      <alignment vertical="center"/>
      <protection locked="0"/>
    </xf>
    <xf numFmtId="9" fontId="25" fillId="4" borderId="0" xfId="2" applyNumberFormat="1" applyFont="1" applyFill="1" applyAlignment="1" applyProtection="1">
      <alignment vertical="center"/>
      <protection locked="0"/>
    </xf>
    <xf numFmtId="9" fontId="21" fillId="4" borderId="0" xfId="1" applyFont="1" applyFill="1" applyAlignment="1" applyProtection="1">
      <alignment vertical="center"/>
      <protection locked="0"/>
    </xf>
    <xf numFmtId="9" fontId="21" fillId="4" borderId="0" xfId="2" applyNumberFormat="1" applyFont="1" applyFill="1" applyAlignment="1" applyProtection="1">
      <alignment vertical="center"/>
      <protection locked="0"/>
    </xf>
    <xf numFmtId="0" fontId="25" fillId="4" borderId="0" xfId="2" applyFont="1" applyFill="1" applyAlignment="1" applyProtection="1">
      <alignment vertical="center"/>
      <protection locked="0"/>
    </xf>
    <xf numFmtId="0" fontId="25" fillId="0" borderId="0" xfId="3" applyFont="1" applyProtection="1"/>
    <xf numFmtId="0" fontId="6" fillId="4" borderId="0" xfId="0" applyFont="1" applyFill="1"/>
    <xf numFmtId="0" fontId="6" fillId="0" borderId="0" xfId="0" applyFont="1"/>
    <xf numFmtId="0" fontId="35" fillId="0" borderId="0" xfId="0" applyFont="1" applyAlignment="1">
      <alignment vertical="top"/>
    </xf>
    <xf numFmtId="49" fontId="35" fillId="0" borderId="0" xfId="0" applyNumberFormat="1" applyFont="1" applyAlignment="1">
      <alignment horizontal="center" vertical="top"/>
    </xf>
    <xf numFmtId="0" fontId="21" fillId="4" borderId="0" xfId="2" applyFont="1" applyFill="1" applyAlignment="1" applyProtection="1">
      <alignment vertical="center"/>
      <protection locked="0"/>
    </xf>
    <xf numFmtId="0" fontId="25" fillId="4" borderId="0" xfId="3" applyFont="1" applyFill="1" applyBorder="1" applyProtection="1"/>
    <xf numFmtId="0" fontId="25" fillId="4" borderId="59" xfId="3" applyFont="1" applyFill="1" applyBorder="1" applyAlignment="1" applyProtection="1">
      <alignment vertical="top" wrapText="1"/>
    </xf>
    <xf numFmtId="0" fontId="25" fillId="4" borderId="0" xfId="3" applyFont="1" applyFill="1" applyBorder="1" applyAlignment="1" applyProtection="1">
      <alignment vertical="top" wrapText="1"/>
    </xf>
    <xf numFmtId="0" fontId="25" fillId="4" borderId="60" xfId="3" applyFont="1" applyFill="1" applyBorder="1" applyAlignment="1" applyProtection="1">
      <alignment vertical="top" wrapText="1"/>
    </xf>
    <xf numFmtId="0" fontId="25" fillId="4" borderId="59" xfId="3" applyFont="1" applyFill="1" applyBorder="1" applyAlignment="1" applyProtection="1">
      <alignment horizontal="left" vertical="top"/>
    </xf>
    <xf numFmtId="0" fontId="25" fillId="4" borderId="60" xfId="3" applyFont="1" applyFill="1" applyBorder="1" applyAlignment="1" applyProtection="1">
      <alignment horizontal="left" vertical="top"/>
    </xf>
    <xf numFmtId="0" fontId="25" fillId="4" borderId="59" xfId="3" applyFont="1" applyFill="1" applyBorder="1" applyProtection="1"/>
    <xf numFmtId="0" fontId="33" fillId="4" borderId="0" xfId="4" applyFont="1" applyFill="1" applyBorder="1" applyAlignment="1" applyProtection="1">
      <alignment horizontal="left" vertical="top" wrapText="1" readingOrder="1"/>
    </xf>
    <xf numFmtId="0" fontId="25" fillId="4" borderId="60" xfId="3" applyFont="1" applyFill="1" applyBorder="1" applyProtection="1"/>
    <xf numFmtId="0" fontId="25" fillId="4" borderId="72" xfId="3" applyFont="1" applyFill="1" applyBorder="1" applyProtection="1"/>
    <xf numFmtId="0" fontId="25" fillId="4" borderId="73" xfId="3" applyFont="1" applyFill="1" applyBorder="1" applyProtection="1"/>
    <xf numFmtId="0" fontId="25" fillId="4" borderId="74" xfId="3" applyFont="1" applyFill="1" applyBorder="1" applyProtection="1"/>
    <xf numFmtId="0" fontId="33" fillId="4" borderId="0" xfId="0" applyFont="1" applyFill="1" applyBorder="1" applyAlignment="1" applyProtection="1">
      <alignment horizontal="left" vertical="center" wrapText="1"/>
    </xf>
    <xf numFmtId="0" fontId="34" fillId="4" borderId="0" xfId="0" applyFont="1" applyFill="1" applyBorder="1" applyAlignment="1" applyProtection="1">
      <alignment horizontal="left" vertical="top" wrapText="1"/>
    </xf>
    <xf numFmtId="0" fontId="25" fillId="4" borderId="0" xfId="3" quotePrefix="1" applyFont="1" applyFill="1" applyBorder="1" applyAlignment="1" applyProtection="1">
      <alignment horizontal="left" vertical="center" wrapText="1"/>
    </xf>
    <xf numFmtId="0" fontId="25" fillId="4" borderId="60" xfId="3" applyFont="1" applyFill="1" applyBorder="1" applyAlignment="1" applyProtection="1"/>
    <xf numFmtId="0" fontId="31" fillId="4" borderId="0" xfId="3" applyFont="1" applyFill="1" applyBorder="1" applyAlignment="1" applyProtection="1">
      <alignment horizontal="left" vertical="center" wrapText="1"/>
    </xf>
    <xf numFmtId="0" fontId="25" fillId="4" borderId="0" xfId="3" applyFont="1" applyFill="1" applyBorder="1" applyAlignment="1" applyProtection="1">
      <alignment horizontal="left" vertical="center" wrapText="1"/>
    </xf>
    <xf numFmtId="0" fontId="6" fillId="4" borderId="0" xfId="0" applyFont="1" applyFill="1" applyAlignment="1">
      <alignment vertical="center"/>
    </xf>
    <xf numFmtId="0" fontId="6" fillId="0" borderId="0" xfId="0" applyFont="1" applyAlignment="1">
      <alignment vertical="center"/>
    </xf>
    <xf numFmtId="0" fontId="7" fillId="4" borderId="0" xfId="0" applyFont="1" applyFill="1"/>
    <xf numFmtId="0" fontId="7" fillId="4" borderId="0" xfId="0" applyNumberFormat="1" applyFont="1" applyFill="1"/>
    <xf numFmtId="0" fontId="7" fillId="0" borderId="0" xfId="0" applyFont="1" applyAlignment="1">
      <alignment vertical="top"/>
    </xf>
    <xf numFmtId="0" fontId="7" fillId="0" borderId="0" xfId="0" applyNumberFormat="1" applyFont="1" applyAlignment="1">
      <alignment vertical="top"/>
    </xf>
    <xf numFmtId="0" fontId="7" fillId="0" borderId="0" xfId="0" applyNumberFormat="1" applyFont="1"/>
    <xf numFmtId="0" fontId="43" fillId="9" borderId="11" xfId="0" applyFont="1" applyFill="1" applyBorder="1" applyAlignment="1">
      <alignment horizontal="center" vertical="top" wrapText="1"/>
    </xf>
    <xf numFmtId="49" fontId="44" fillId="5" borderId="7" xfId="0" applyNumberFormat="1" applyFont="1" applyFill="1" applyBorder="1" applyAlignment="1">
      <alignment horizontal="center" vertical="center" wrapText="1"/>
    </xf>
    <xf numFmtId="0" fontId="44" fillId="5" borderId="7" xfId="0" applyFont="1" applyFill="1" applyBorder="1" applyAlignment="1">
      <alignment horizontal="center" vertical="center" wrapText="1"/>
    </xf>
    <xf numFmtId="0" fontId="44" fillId="5" borderId="10" xfId="0" applyFont="1" applyFill="1" applyBorder="1" applyAlignment="1">
      <alignment horizontal="center" vertical="center" wrapText="1"/>
    </xf>
    <xf numFmtId="0" fontId="44" fillId="5" borderId="5" xfId="0" applyFont="1" applyFill="1" applyBorder="1" applyAlignment="1">
      <alignment horizontal="center" vertical="center" wrapText="1"/>
    </xf>
    <xf numFmtId="0" fontId="45" fillId="0" borderId="2" xfId="0" applyFont="1" applyBorder="1" applyAlignment="1">
      <alignment horizontal="center" vertical="center" wrapText="1"/>
    </xf>
    <xf numFmtId="0" fontId="45" fillId="0" borderId="2" xfId="0" applyFont="1" applyBorder="1" applyAlignment="1">
      <alignment horizontal="left" vertical="center" wrapText="1"/>
    </xf>
    <xf numFmtId="0" fontId="45" fillId="0" borderId="3" xfId="0" applyFont="1" applyBorder="1" applyAlignment="1">
      <alignment horizontal="center" vertical="center" wrapText="1"/>
    </xf>
    <xf numFmtId="0" fontId="46" fillId="0" borderId="3" xfId="0" applyFont="1" applyFill="1" applyBorder="1" applyAlignment="1">
      <alignment horizontal="left" vertical="center" wrapText="1"/>
    </xf>
    <xf numFmtId="0" fontId="45" fillId="0" borderId="3" xfId="0" applyFont="1" applyBorder="1" applyAlignment="1">
      <alignment horizontal="left" vertical="center" wrapText="1"/>
    </xf>
    <xf numFmtId="0" fontId="45" fillId="0" borderId="4" xfId="0" applyFont="1" applyBorder="1" applyAlignment="1">
      <alignment horizontal="center" vertical="center" wrapText="1"/>
    </xf>
    <xf numFmtId="0" fontId="45" fillId="0" borderId="4" xfId="0" applyFont="1" applyBorder="1" applyAlignment="1">
      <alignment horizontal="left" vertical="center" wrapText="1"/>
    </xf>
    <xf numFmtId="0" fontId="45" fillId="0" borderId="3" xfId="0" applyFont="1" applyFill="1" applyBorder="1" applyAlignment="1">
      <alignment horizontal="center" vertical="center" wrapText="1"/>
    </xf>
    <xf numFmtId="0" fontId="45" fillId="0" borderId="2" xfId="0" applyFont="1" applyFill="1" applyBorder="1" applyAlignment="1">
      <alignment horizontal="left" vertical="center" wrapText="1"/>
    </xf>
    <xf numFmtId="0" fontId="8" fillId="13" borderId="3" xfId="0" applyFont="1" applyFill="1" applyBorder="1" applyAlignment="1">
      <alignment horizontal="center" vertical="center" wrapText="1"/>
    </xf>
    <xf numFmtId="0" fontId="49" fillId="0" borderId="0" xfId="0" applyFont="1" applyBorder="1" applyAlignment="1">
      <alignment horizontal="center" wrapText="1"/>
    </xf>
    <xf numFmtId="0" fontId="8" fillId="15"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50" fillId="2" borderId="3" xfId="0" applyFont="1" applyFill="1" applyBorder="1" applyAlignment="1">
      <alignment horizontal="center" vertical="center"/>
    </xf>
    <xf numFmtId="0" fontId="41" fillId="0" borderId="3" xfId="0" applyFont="1" applyFill="1" applyBorder="1" applyAlignment="1">
      <alignment horizontal="center" vertical="center"/>
    </xf>
    <xf numFmtId="0" fontId="52" fillId="0" borderId="0" xfId="0" applyFont="1" applyBorder="1" applyAlignment="1">
      <alignment horizontal="center"/>
    </xf>
    <xf numFmtId="0" fontId="51" fillId="12" borderId="31"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24" fillId="4" borderId="0" xfId="2" applyNumberFormat="1" applyFont="1" applyFill="1" applyBorder="1" applyAlignment="1" applyProtection="1">
      <alignment vertical="center" wrapText="1"/>
    </xf>
    <xf numFmtId="0" fontId="34" fillId="4" borderId="0" xfId="2" applyFont="1" applyFill="1" applyBorder="1" applyAlignment="1" applyProtection="1">
      <alignment vertical="center" wrapText="1"/>
    </xf>
    <xf numFmtId="0" fontId="35" fillId="0" borderId="0" xfId="0" applyNumberFormat="1" applyFont="1" applyAlignment="1" applyProtection="1">
      <alignment horizontal="center" vertical="top"/>
      <protection hidden="1"/>
    </xf>
    <xf numFmtId="0" fontId="37" fillId="0" borderId="79" xfId="0" applyFont="1" applyBorder="1" applyAlignment="1" applyProtection="1">
      <alignment horizontal="center" vertical="center" wrapText="1"/>
      <protection hidden="1"/>
    </xf>
    <xf numFmtId="0" fontId="7" fillId="0" borderId="0" xfId="0" applyNumberFormat="1" applyFont="1" applyAlignment="1" applyProtection="1">
      <alignment horizontal="center" vertical="top"/>
      <protection hidden="1"/>
    </xf>
    <xf numFmtId="0" fontId="38" fillId="0" borderId="9" xfId="0" applyFont="1" applyFill="1" applyBorder="1" applyAlignment="1" applyProtection="1">
      <alignment horizontal="center" vertical="center" wrapText="1"/>
      <protection hidden="1"/>
    </xf>
    <xf numFmtId="49" fontId="7" fillId="0" borderId="0" xfId="0" applyNumberFormat="1" applyFont="1" applyAlignment="1" applyProtection="1">
      <alignment horizontal="center" vertical="top"/>
      <protection hidden="1"/>
    </xf>
    <xf numFmtId="0" fontId="37" fillId="0" borderId="9" xfId="0" applyFont="1" applyBorder="1" applyAlignment="1" applyProtection="1">
      <alignment horizontal="center" vertical="center" wrapText="1"/>
      <protection hidden="1"/>
    </xf>
    <xf numFmtId="0" fontId="37" fillId="0" borderId="80" xfId="0" applyFont="1" applyBorder="1" applyAlignment="1" applyProtection="1">
      <alignment horizontal="center" vertical="center" wrapText="1"/>
      <protection hidden="1"/>
    </xf>
    <xf numFmtId="0" fontId="7" fillId="0" borderId="0" xfId="0" applyNumberFormat="1" applyFont="1" applyAlignment="1" applyProtection="1">
      <alignment vertical="top"/>
      <protection hidden="1"/>
    </xf>
    <xf numFmtId="0" fontId="37" fillId="0" borderId="79" xfId="0" applyFont="1" applyFill="1" applyBorder="1" applyAlignment="1" applyProtection="1">
      <alignment horizontal="center" vertical="center" wrapText="1"/>
      <protection hidden="1"/>
    </xf>
    <xf numFmtId="0" fontId="42" fillId="0" borderId="2" xfId="0" applyFont="1" applyBorder="1" applyAlignment="1" applyProtection="1">
      <alignment horizontal="center" vertical="center" wrapText="1"/>
      <protection locked="0"/>
    </xf>
    <xf numFmtId="0" fontId="35" fillId="0" borderId="79" xfId="0" applyFont="1" applyBorder="1" applyAlignment="1" applyProtection="1">
      <alignment horizontal="left" vertical="center" wrapText="1"/>
      <protection locked="0"/>
    </xf>
    <xf numFmtId="0" fontId="42" fillId="0" borderId="3"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left" vertical="center" wrapText="1"/>
      <protection locked="0"/>
    </xf>
    <xf numFmtId="0" fontId="42" fillId="0" borderId="3" xfId="0" applyFont="1" applyBorder="1" applyAlignment="1" applyProtection="1">
      <alignment horizontal="center" vertical="center" wrapText="1"/>
      <protection locked="0"/>
    </xf>
    <xf numFmtId="0" fontId="35" fillId="0" borderId="9" xfId="0" applyFont="1" applyBorder="1" applyAlignment="1" applyProtection="1">
      <alignment horizontal="left" vertical="center" wrapText="1"/>
      <protection locked="0"/>
    </xf>
    <xf numFmtId="0" fontId="42" fillId="0" borderId="4" xfId="0" applyFont="1" applyBorder="1" applyAlignment="1" applyProtection="1">
      <alignment horizontal="center" vertical="center" wrapText="1"/>
      <protection locked="0"/>
    </xf>
    <xf numFmtId="0" fontId="35" fillId="0" borderId="80" xfId="0" applyFont="1" applyBorder="1" applyAlignment="1" applyProtection="1">
      <alignment horizontal="left" vertical="center" wrapText="1"/>
      <protection locked="0"/>
    </xf>
    <xf numFmtId="0" fontId="42" fillId="0" borderId="2" xfId="0" applyFont="1" applyFill="1" applyBorder="1" applyAlignment="1" applyProtection="1">
      <alignment horizontal="center" vertical="center" wrapText="1"/>
      <protection locked="0"/>
    </xf>
    <xf numFmtId="0" fontId="35" fillId="0" borderId="79" xfId="0" applyFont="1" applyFill="1" applyBorder="1" applyAlignment="1" applyProtection="1">
      <alignment horizontal="left" vertical="center" wrapText="1"/>
      <protection locked="0"/>
    </xf>
    <xf numFmtId="0" fontId="18" fillId="2" borderId="82" xfId="2" applyFont="1" applyFill="1" applyBorder="1" applyAlignment="1" applyProtection="1">
      <alignment horizontal="center" vertical="center"/>
    </xf>
    <xf numFmtId="0" fontId="18" fillId="2" borderId="82" xfId="2" applyFont="1" applyFill="1" applyBorder="1" applyAlignment="1" applyProtection="1">
      <alignment horizontal="center" vertical="center" wrapText="1"/>
    </xf>
    <xf numFmtId="0" fontId="0" fillId="0" borderId="2" xfId="0" applyBorder="1" applyAlignment="1" applyProtection="1">
      <alignment horizontal="center" vertical="center"/>
      <protection hidden="1"/>
    </xf>
    <xf numFmtId="0" fontId="39" fillId="0" borderId="84" xfId="0" applyFont="1" applyFill="1" applyBorder="1" applyAlignment="1" applyProtection="1">
      <alignment vertical="center" wrapText="1"/>
      <protection hidden="1"/>
    </xf>
    <xf numFmtId="0" fontId="0" fillId="0" borderId="3" xfId="0" applyBorder="1" applyAlignment="1" applyProtection="1">
      <alignment horizontal="center" vertical="center"/>
      <protection hidden="1"/>
    </xf>
    <xf numFmtId="0" fontId="39" fillId="0" borderId="85" xfId="0" applyFont="1" applyFill="1" applyBorder="1" applyAlignment="1" applyProtection="1">
      <alignment vertical="center" wrapText="1"/>
      <protection hidden="1"/>
    </xf>
    <xf numFmtId="0" fontId="0" fillId="0" borderId="4" xfId="0" applyBorder="1" applyAlignment="1" applyProtection="1">
      <alignment horizontal="center" vertical="center"/>
      <protection hidden="1"/>
    </xf>
    <xf numFmtId="0" fontId="39" fillId="0" borderId="86" xfId="0" applyFont="1" applyFill="1" applyBorder="1" applyAlignment="1" applyProtection="1">
      <alignment vertical="center" wrapText="1"/>
      <protection hidden="1"/>
    </xf>
    <xf numFmtId="0" fontId="0" fillId="0" borderId="7" xfId="0" applyBorder="1" applyAlignment="1" applyProtection="1">
      <alignment horizontal="center" vertical="center"/>
      <protection hidden="1"/>
    </xf>
    <xf numFmtId="0" fontId="39" fillId="0" borderId="5" xfId="0" applyFont="1" applyFill="1" applyBorder="1" applyAlignment="1" applyProtection="1">
      <alignment vertical="center" wrapText="1"/>
      <protection hidden="1"/>
    </xf>
    <xf numFmtId="0" fontId="0" fillId="0" borderId="6" xfId="0" applyBorder="1" applyAlignment="1" applyProtection="1">
      <alignment horizontal="center" vertical="center"/>
      <protection hidden="1"/>
    </xf>
    <xf numFmtId="0" fontId="39" fillId="0" borderId="6" xfId="0" applyFont="1" applyFill="1" applyBorder="1" applyAlignment="1" applyProtection="1">
      <alignment vertical="center" wrapText="1"/>
      <protection hidden="1"/>
    </xf>
    <xf numFmtId="0" fontId="39" fillId="0" borderId="3" xfId="0" applyFont="1" applyFill="1" applyBorder="1" applyAlignment="1" applyProtection="1">
      <alignment vertical="center" wrapText="1"/>
      <protection hidden="1"/>
    </xf>
    <xf numFmtId="0" fontId="39" fillId="0" borderId="7" xfId="0" applyFont="1" applyFill="1" applyBorder="1" applyAlignment="1" applyProtection="1">
      <alignment vertical="center" wrapText="1"/>
      <protection hidden="1"/>
    </xf>
    <xf numFmtId="0" fontId="47" fillId="0" borderId="22" xfId="0" applyFont="1" applyBorder="1" applyAlignment="1" applyProtection="1">
      <alignment horizontal="center" vertical="center"/>
      <protection hidden="1"/>
    </xf>
    <xf numFmtId="9" fontId="0" fillId="0" borderId="90" xfId="0" applyNumberFormat="1" applyBorder="1" applyAlignment="1" applyProtection="1">
      <alignment horizontal="center" vertical="center"/>
      <protection hidden="1"/>
    </xf>
    <xf numFmtId="9" fontId="0" fillId="0" borderId="91" xfId="0" applyNumberFormat="1" applyBorder="1" applyAlignment="1" applyProtection="1">
      <alignment horizontal="center" vertical="center"/>
      <protection hidden="1"/>
    </xf>
    <xf numFmtId="9" fontId="0" fillId="0" borderId="92" xfId="0" applyNumberFormat="1" applyBorder="1" applyAlignment="1" applyProtection="1">
      <alignment horizontal="center" vertical="center"/>
      <protection hidden="1"/>
    </xf>
    <xf numFmtId="9" fontId="0" fillId="0" borderId="93" xfId="0" applyNumberFormat="1" applyBorder="1" applyAlignment="1" applyProtection="1">
      <alignment horizontal="center" vertical="center"/>
      <protection hidden="1"/>
    </xf>
    <xf numFmtId="9" fontId="0" fillId="0" borderId="6" xfId="0" applyNumberFormat="1" applyBorder="1" applyAlignment="1" applyProtection="1">
      <alignment horizontal="center" vertical="center"/>
      <protection hidden="1"/>
    </xf>
    <xf numFmtId="9" fontId="0" fillId="0" borderId="3" xfId="0" applyNumberFormat="1" applyBorder="1" applyAlignment="1" applyProtection="1">
      <alignment horizontal="center" vertical="center"/>
      <protection hidden="1"/>
    </xf>
    <xf numFmtId="9" fontId="0" fillId="0" borderId="7" xfId="0" applyNumberFormat="1" applyBorder="1" applyAlignment="1" applyProtection="1">
      <alignment horizontal="center" vertical="center"/>
      <protection hidden="1"/>
    </xf>
    <xf numFmtId="9" fontId="41" fillId="2" borderId="26" xfId="0" applyNumberFormat="1" applyFont="1" applyFill="1" applyBorder="1" applyAlignment="1" applyProtection="1">
      <alignment horizontal="center" vertical="center"/>
      <protection hidden="1"/>
    </xf>
    <xf numFmtId="0" fontId="41" fillId="0" borderId="3" xfId="0" applyFont="1" applyFill="1" applyBorder="1" applyAlignment="1" applyProtection="1">
      <alignment horizontal="center" vertical="center"/>
      <protection hidden="1"/>
    </xf>
    <xf numFmtId="9" fontId="13" fillId="14" borderId="3" xfId="0" applyNumberFormat="1" applyFont="1" applyFill="1" applyBorder="1" applyAlignment="1" applyProtection="1">
      <alignment horizontal="center" vertical="center"/>
      <protection hidden="1"/>
    </xf>
    <xf numFmtId="49" fontId="54" fillId="4" borderId="2" xfId="0" applyNumberFormat="1" applyFont="1" applyFill="1" applyBorder="1" applyAlignment="1" applyProtection="1">
      <alignment horizontal="center" vertical="center" wrapText="1"/>
      <protection locked="0"/>
    </xf>
    <xf numFmtId="49" fontId="54" fillId="4" borderId="3" xfId="0" applyNumberFormat="1" applyFont="1" applyFill="1" applyBorder="1" applyAlignment="1" applyProtection="1">
      <alignment horizontal="center" vertical="center" wrapText="1"/>
      <protection locked="0"/>
    </xf>
    <xf numFmtId="49" fontId="54" fillId="4" borderId="4" xfId="0" applyNumberFormat="1" applyFont="1" applyFill="1" applyBorder="1" applyAlignment="1" applyProtection="1">
      <alignment horizontal="center" vertical="center" wrapText="1"/>
      <protection locked="0"/>
    </xf>
    <xf numFmtId="49" fontId="17" fillId="5" borderId="7" xfId="0" applyNumberFormat="1" applyFont="1" applyFill="1" applyBorder="1" applyAlignment="1" applyProtection="1">
      <alignment horizontal="center" vertical="center" wrapText="1"/>
      <protection hidden="1"/>
    </xf>
    <xf numFmtId="0" fontId="17" fillId="5" borderId="7" xfId="0" applyFont="1" applyFill="1" applyBorder="1" applyAlignment="1" applyProtection="1">
      <alignment horizontal="center" vertical="center" wrapText="1"/>
      <protection hidden="1"/>
    </xf>
    <xf numFmtId="0" fontId="17" fillId="5" borderId="10" xfId="0" applyFont="1" applyFill="1" applyBorder="1" applyAlignment="1" applyProtection="1">
      <alignment horizontal="center" vertical="center" wrapText="1"/>
      <protection hidden="1"/>
    </xf>
    <xf numFmtId="0" fontId="17" fillId="5" borderId="81" xfId="0" applyFont="1" applyFill="1" applyBorder="1" applyAlignment="1" applyProtection="1">
      <alignment horizontal="center" vertical="center" wrapText="1"/>
      <protection hidden="1"/>
    </xf>
    <xf numFmtId="0" fontId="0" fillId="0" borderId="0" xfId="0" applyProtection="1">
      <protection hidden="1"/>
    </xf>
    <xf numFmtId="9" fontId="0" fillId="0" borderId="0" xfId="1" applyFont="1" applyProtection="1">
      <protection hidden="1"/>
    </xf>
    <xf numFmtId="10" fontId="0" fillId="0" borderId="0" xfId="1" applyNumberFormat="1" applyFont="1" applyProtection="1">
      <protection hidden="1"/>
    </xf>
    <xf numFmtId="49" fontId="43" fillId="9" borderId="14" xfId="0" applyNumberFormat="1" applyFont="1" applyFill="1" applyBorder="1" applyAlignment="1">
      <alignment horizontal="center" vertical="center" wrapText="1"/>
    </xf>
    <xf numFmtId="49" fontId="43" fillId="9" borderId="11" xfId="0" applyNumberFormat="1" applyFont="1" applyFill="1" applyBorder="1" applyAlignment="1">
      <alignment horizontal="center" vertical="center" wrapText="1"/>
    </xf>
    <xf numFmtId="0" fontId="29" fillId="0" borderId="58" xfId="3" applyFont="1" applyBorder="1" applyAlignment="1" applyProtection="1">
      <alignment horizontal="center" vertical="center" wrapText="1"/>
    </xf>
    <xf numFmtId="0" fontId="29" fillId="0" borderId="55" xfId="3" applyFont="1" applyBorder="1" applyAlignment="1" applyProtection="1">
      <alignment horizontal="center" vertical="center" wrapText="1"/>
    </xf>
    <xf numFmtId="0" fontId="29" fillId="0" borderId="8" xfId="3" applyFont="1" applyBorder="1" applyAlignment="1" applyProtection="1">
      <alignment horizontal="center" vertical="center" wrapText="1"/>
    </xf>
    <xf numFmtId="0" fontId="25" fillId="0" borderId="59" xfId="3" quotePrefix="1" applyFont="1" applyBorder="1" applyAlignment="1" applyProtection="1">
      <alignment horizontal="left" vertical="center" wrapText="1"/>
    </xf>
    <xf numFmtId="0" fontId="25" fillId="0" borderId="0" xfId="3" quotePrefix="1" applyFont="1" applyBorder="1" applyAlignment="1" applyProtection="1">
      <alignment horizontal="left" vertical="center" wrapText="1"/>
    </xf>
    <xf numFmtId="0" fontId="25" fillId="0" borderId="60" xfId="3" quotePrefix="1" applyFont="1" applyBorder="1" applyAlignment="1" applyProtection="1">
      <alignment horizontal="left" vertical="center" wrapText="1"/>
    </xf>
    <xf numFmtId="0" fontId="30" fillId="4" borderId="59" xfId="3" quotePrefix="1" applyFont="1" applyFill="1" applyBorder="1" applyAlignment="1" applyProtection="1">
      <alignment horizontal="left" vertical="top" wrapText="1"/>
    </xf>
    <xf numFmtId="0" fontId="24" fillId="4" borderId="0" xfId="3" quotePrefix="1" applyFont="1" applyFill="1" applyBorder="1" applyAlignment="1" applyProtection="1">
      <alignment horizontal="left" vertical="top" wrapText="1"/>
    </xf>
    <xf numFmtId="0" fontId="24" fillId="4" borderId="60" xfId="3" quotePrefix="1" applyFont="1" applyFill="1" applyBorder="1" applyAlignment="1" applyProtection="1">
      <alignment horizontal="left" vertical="top" wrapText="1"/>
    </xf>
    <xf numFmtId="0" fontId="25" fillId="4" borderId="59" xfId="3" quotePrefix="1" applyFont="1" applyFill="1" applyBorder="1" applyAlignment="1" applyProtection="1">
      <alignment horizontal="left" vertical="top" wrapText="1"/>
    </xf>
    <xf numFmtId="0" fontId="25" fillId="4" borderId="0" xfId="3" quotePrefix="1" applyFont="1" applyFill="1" applyBorder="1" applyAlignment="1" applyProtection="1">
      <alignment horizontal="left" vertical="top" wrapText="1"/>
    </xf>
    <xf numFmtId="0" fontId="25" fillId="4" borderId="60" xfId="3" quotePrefix="1" applyFont="1" applyFill="1" applyBorder="1" applyAlignment="1" applyProtection="1">
      <alignment horizontal="left" vertical="top" wrapText="1"/>
    </xf>
    <xf numFmtId="0" fontId="33" fillId="16" borderId="61" xfId="4" applyFont="1" applyFill="1" applyBorder="1" applyAlignment="1" applyProtection="1">
      <alignment horizontal="center" vertical="center" wrapText="1"/>
    </xf>
    <xf numFmtId="0" fontId="33" fillId="16" borderId="62" xfId="4" applyFont="1" applyFill="1" applyBorder="1" applyAlignment="1" applyProtection="1">
      <alignment horizontal="center" vertical="center" wrapText="1"/>
    </xf>
    <xf numFmtId="0" fontId="33" fillId="16" borderId="63" xfId="3" applyFont="1" applyFill="1" applyBorder="1" applyAlignment="1" applyProtection="1">
      <alignment horizontal="center" vertical="center"/>
    </xf>
    <xf numFmtId="0" fontId="33" fillId="16" borderId="64" xfId="3" applyFont="1" applyFill="1" applyBorder="1" applyAlignment="1" applyProtection="1">
      <alignment horizontal="center" vertical="center"/>
    </xf>
    <xf numFmtId="0" fontId="33" fillId="4" borderId="75" xfId="4" applyFont="1" applyFill="1" applyBorder="1" applyAlignment="1" applyProtection="1">
      <alignment horizontal="left" vertical="center" wrapText="1" readingOrder="1"/>
    </xf>
    <xf numFmtId="0" fontId="33" fillId="4" borderId="76" xfId="4" applyFont="1" applyFill="1" applyBorder="1" applyAlignment="1" applyProtection="1">
      <alignment horizontal="left" vertical="center" wrapText="1" readingOrder="1"/>
    </xf>
    <xf numFmtId="0" fontId="34" fillId="0" borderId="65" xfId="3" applyFont="1" applyFill="1" applyBorder="1" applyAlignment="1" applyProtection="1">
      <alignment horizontal="left" vertical="center" wrapText="1"/>
    </xf>
    <xf numFmtId="0" fontId="34" fillId="0" borderId="66" xfId="3" applyFont="1" applyFill="1" applyBorder="1" applyAlignment="1" applyProtection="1">
      <alignment horizontal="left" vertical="center" wrapText="1"/>
    </xf>
    <xf numFmtId="0" fontId="33" fillId="4" borderId="67" xfId="0" applyFont="1" applyFill="1" applyBorder="1" applyAlignment="1" applyProtection="1">
      <alignment horizontal="left" vertical="center" wrapText="1"/>
    </xf>
    <xf numFmtId="0" fontId="33" fillId="4" borderId="68" xfId="0" applyFont="1" applyFill="1" applyBorder="1" applyAlignment="1" applyProtection="1">
      <alignment horizontal="left" vertical="center" wrapText="1"/>
    </xf>
    <xf numFmtId="0" fontId="34" fillId="0" borderId="69" xfId="3" applyFont="1" applyFill="1" applyBorder="1" applyAlignment="1" applyProtection="1">
      <alignment horizontal="left" vertical="center" wrapText="1"/>
    </xf>
    <xf numFmtId="0" fontId="34" fillId="0" borderId="70" xfId="3" applyFont="1" applyFill="1" applyBorder="1" applyAlignment="1" applyProtection="1">
      <alignment horizontal="left" vertical="center" wrapText="1"/>
    </xf>
    <xf numFmtId="0" fontId="34" fillId="0" borderId="69" xfId="3" applyFont="1" applyFill="1" applyBorder="1" applyAlignment="1" applyProtection="1">
      <alignment horizontal="left" vertical="top" wrapText="1"/>
    </xf>
    <xf numFmtId="0" fontId="34" fillId="0" borderId="70" xfId="3" applyFont="1" applyFill="1" applyBorder="1" applyAlignment="1" applyProtection="1">
      <alignment horizontal="left" vertical="top" wrapText="1"/>
    </xf>
    <xf numFmtId="0" fontId="25" fillId="4" borderId="59" xfId="3" applyFont="1" applyFill="1" applyBorder="1" applyAlignment="1" applyProtection="1">
      <alignment horizontal="left" vertical="top" wrapText="1"/>
    </xf>
    <xf numFmtId="0" fontId="25" fillId="4" borderId="0" xfId="3" applyFont="1" applyFill="1" applyBorder="1" applyAlignment="1" applyProtection="1">
      <alignment horizontal="left" vertical="top" wrapText="1"/>
    </xf>
    <xf numFmtId="0" fontId="25" fillId="4" borderId="60" xfId="3" applyFont="1" applyFill="1" applyBorder="1" applyAlignment="1" applyProtection="1">
      <alignment horizontal="left" vertical="top" wrapText="1"/>
    </xf>
    <xf numFmtId="0" fontId="25" fillId="4" borderId="0" xfId="3" applyFont="1" applyFill="1" applyBorder="1" applyAlignment="1" applyProtection="1"/>
    <xf numFmtId="0" fontId="33" fillId="4" borderId="77" xfId="0" applyFont="1" applyFill="1" applyBorder="1" applyAlignment="1" applyProtection="1">
      <alignment horizontal="left" vertical="center" wrapText="1"/>
    </xf>
    <xf numFmtId="0" fontId="33" fillId="4" borderId="78" xfId="0" applyFont="1" applyFill="1" applyBorder="1" applyAlignment="1" applyProtection="1">
      <alignment horizontal="left" vertical="center" wrapText="1"/>
    </xf>
    <xf numFmtId="0" fontId="16" fillId="2" borderId="44" xfId="2" applyNumberFormat="1" applyFont="1" applyFill="1" applyBorder="1" applyAlignment="1" applyProtection="1">
      <alignment horizontal="center" vertical="center" wrapText="1"/>
    </xf>
    <xf numFmtId="0" fontId="16" fillId="2" borderId="45" xfId="2" applyNumberFormat="1" applyFont="1" applyFill="1" applyBorder="1" applyAlignment="1" applyProtection="1">
      <alignment horizontal="center" vertical="center" wrapText="1"/>
    </xf>
    <xf numFmtId="0" fontId="24" fillId="7" borderId="50" xfId="2" applyNumberFormat="1" applyFont="1" applyFill="1" applyBorder="1" applyAlignment="1" applyProtection="1">
      <alignment horizontal="center" vertical="center"/>
    </xf>
    <xf numFmtId="0" fontId="24" fillId="7" borderId="51" xfId="2" applyNumberFormat="1" applyFont="1" applyFill="1" applyBorder="1" applyAlignment="1" applyProtection="1">
      <alignment horizontal="center" vertical="center"/>
    </xf>
    <xf numFmtId="0" fontId="25" fillId="0" borderId="56" xfId="2" applyFont="1" applyFill="1" applyBorder="1" applyAlignment="1" applyProtection="1">
      <alignment horizontal="justify" vertical="center" wrapText="1"/>
    </xf>
    <xf numFmtId="0" fontId="25" fillId="0" borderId="57" xfId="2" applyFont="1" applyFill="1" applyBorder="1" applyAlignment="1" applyProtection="1">
      <alignment horizontal="justify" vertical="center" wrapText="1"/>
    </xf>
    <xf numFmtId="0" fontId="24" fillId="8" borderId="52" xfId="2" applyNumberFormat="1" applyFont="1" applyFill="1" applyBorder="1" applyAlignment="1" applyProtection="1">
      <alignment horizontal="center" vertical="center" wrapText="1"/>
    </xf>
    <xf numFmtId="0" fontId="24" fillId="8" borderId="53" xfId="2" applyNumberFormat="1" applyFont="1" applyFill="1" applyBorder="1" applyAlignment="1" applyProtection="1">
      <alignment horizontal="center" vertical="center"/>
    </xf>
    <xf numFmtId="0" fontId="25" fillId="0" borderId="53" xfId="2" applyFont="1" applyFill="1" applyBorder="1" applyAlignment="1" applyProtection="1">
      <alignment horizontal="justify" vertical="center" wrapText="1"/>
    </xf>
    <xf numFmtId="0" fontId="25" fillId="0" borderId="54" xfId="2" applyFont="1" applyFill="1" applyBorder="1" applyAlignment="1" applyProtection="1">
      <alignment horizontal="justify" vertical="center" wrapText="1"/>
    </xf>
    <xf numFmtId="0" fontId="36" fillId="4" borderId="71" xfId="2" applyNumberFormat="1" applyFont="1" applyFill="1" applyBorder="1" applyAlignment="1" applyProtection="1">
      <alignment horizontal="center" vertical="center" wrapText="1"/>
    </xf>
    <xf numFmtId="0" fontId="23" fillId="4" borderId="71" xfId="2" applyFont="1" applyFill="1" applyBorder="1" applyAlignment="1" applyProtection="1">
      <alignment horizontal="center" vertical="center" wrapText="1"/>
    </xf>
    <xf numFmtId="0" fontId="16" fillId="2" borderId="46" xfId="2" applyNumberFormat="1" applyFont="1" applyFill="1" applyBorder="1" applyAlignment="1" applyProtection="1">
      <alignment horizontal="center" vertical="center" wrapText="1"/>
    </xf>
    <xf numFmtId="0" fontId="24" fillId="14" borderId="47" xfId="2" applyNumberFormat="1" applyFont="1" applyFill="1" applyBorder="1" applyAlignment="1" applyProtection="1">
      <alignment horizontal="center" vertical="center"/>
    </xf>
    <xf numFmtId="0" fontId="24" fillId="14" borderId="48" xfId="2" applyNumberFormat="1" applyFont="1" applyFill="1" applyBorder="1" applyAlignment="1" applyProtection="1">
      <alignment horizontal="center" vertical="center"/>
    </xf>
    <xf numFmtId="0" fontId="25" fillId="0" borderId="48" xfId="2" applyFont="1" applyFill="1" applyBorder="1" applyAlignment="1" applyProtection="1">
      <alignment horizontal="justify" vertical="center" wrapText="1"/>
    </xf>
    <xf numFmtId="0" fontId="25" fillId="0" borderId="49" xfId="2" applyFont="1" applyFill="1" applyBorder="1" applyAlignment="1" applyProtection="1">
      <alignment horizontal="justify" vertical="center" wrapText="1"/>
    </xf>
    <xf numFmtId="0" fontId="43" fillId="9" borderId="11" xfId="0" applyFont="1" applyFill="1" applyBorder="1" applyAlignment="1">
      <alignment horizontal="center" vertical="center" wrapText="1"/>
    </xf>
    <xf numFmtId="0" fontId="43" fillId="9" borderId="12" xfId="0" applyFont="1" applyFill="1" applyBorder="1" applyAlignment="1">
      <alignment horizontal="center" vertical="center" wrapText="1"/>
    </xf>
    <xf numFmtId="0" fontId="43" fillId="9" borderId="6" xfId="0" applyFont="1" applyFill="1" applyBorder="1" applyAlignment="1">
      <alignment horizontal="center" vertical="center" wrapText="1"/>
    </xf>
    <xf numFmtId="49" fontId="43" fillId="9" borderId="14" xfId="0" applyNumberFormat="1" applyFont="1" applyFill="1" applyBorder="1" applyAlignment="1">
      <alignment horizontal="center" vertical="center" wrapText="1"/>
    </xf>
    <xf numFmtId="49" fontId="43" fillId="9" borderId="15" xfId="0" applyNumberFormat="1" applyFont="1" applyFill="1" applyBorder="1" applyAlignment="1">
      <alignment horizontal="center" vertical="center" wrapText="1"/>
    </xf>
    <xf numFmtId="49" fontId="43" fillId="9" borderId="16" xfId="0" applyNumberFormat="1" applyFont="1" applyFill="1" applyBorder="1" applyAlignment="1">
      <alignment horizontal="center" vertical="center" wrapText="1"/>
    </xf>
    <xf numFmtId="49" fontId="43" fillId="6" borderId="11" xfId="0" applyNumberFormat="1" applyFont="1" applyFill="1" applyBorder="1" applyAlignment="1">
      <alignment horizontal="center" vertical="center" wrapText="1"/>
    </xf>
    <xf numFmtId="49" fontId="43" fillId="6" borderId="12" xfId="0" applyNumberFormat="1" applyFont="1" applyFill="1" applyBorder="1" applyAlignment="1">
      <alignment horizontal="center" vertical="center" wrapText="1"/>
    </xf>
    <xf numFmtId="49" fontId="43" fillId="6" borderId="13" xfId="0" applyNumberFormat="1" applyFont="1" applyFill="1" applyBorder="1" applyAlignment="1">
      <alignment horizontal="center" vertical="center" wrapText="1"/>
    </xf>
    <xf numFmtId="49" fontId="43" fillId="10" borderId="11" xfId="0" applyNumberFormat="1" applyFont="1" applyFill="1" applyBorder="1" applyAlignment="1">
      <alignment horizontal="center" vertical="center" wrapText="1"/>
    </xf>
    <xf numFmtId="49" fontId="43" fillId="10" borderId="12" xfId="0" applyNumberFormat="1" applyFont="1" applyFill="1" applyBorder="1" applyAlignment="1">
      <alignment horizontal="center" vertical="center" wrapText="1"/>
    </xf>
    <xf numFmtId="49" fontId="43" fillId="10" borderId="13" xfId="0" applyNumberFormat="1" applyFont="1" applyFill="1" applyBorder="1" applyAlignment="1">
      <alignment horizontal="center" vertical="center" wrapText="1"/>
    </xf>
    <xf numFmtId="49" fontId="43" fillId="2" borderId="11" xfId="0" applyNumberFormat="1" applyFont="1" applyFill="1" applyBorder="1" applyAlignment="1">
      <alignment horizontal="center" vertical="center" wrapText="1"/>
    </xf>
    <xf numFmtId="49" fontId="43" fillId="2" borderId="12" xfId="0" applyNumberFormat="1" applyFont="1" applyFill="1" applyBorder="1" applyAlignment="1">
      <alignment horizontal="center" vertical="center" wrapText="1"/>
    </xf>
    <xf numFmtId="49" fontId="43" fillId="2" borderId="13" xfId="0" applyNumberFormat="1" applyFont="1" applyFill="1" applyBorder="1" applyAlignment="1">
      <alignment horizontal="center" vertical="center" wrapText="1"/>
    </xf>
    <xf numFmtId="49" fontId="43" fillId="11" borderId="11" xfId="0" applyNumberFormat="1" applyFont="1" applyFill="1" applyBorder="1" applyAlignment="1">
      <alignment horizontal="center" vertical="center" wrapText="1"/>
    </xf>
    <xf numFmtId="49" fontId="43" fillId="11" borderId="12" xfId="0" applyNumberFormat="1" applyFont="1" applyFill="1" applyBorder="1" applyAlignment="1">
      <alignment horizontal="center" vertical="center" wrapText="1"/>
    </xf>
    <xf numFmtId="49" fontId="43" fillId="11" borderId="13" xfId="0" applyNumberFormat="1" applyFont="1" applyFill="1" applyBorder="1" applyAlignment="1">
      <alignment horizontal="center" vertical="center" wrapText="1"/>
    </xf>
    <xf numFmtId="49" fontId="43" fillId="9" borderId="11" xfId="0" applyNumberFormat="1" applyFont="1" applyFill="1" applyBorder="1" applyAlignment="1">
      <alignment horizontal="center" vertical="center" wrapText="1"/>
    </xf>
    <xf numFmtId="49" fontId="43" fillId="9" borderId="12" xfId="0" applyNumberFormat="1" applyFont="1" applyFill="1" applyBorder="1" applyAlignment="1">
      <alignment horizontal="center" vertical="center" wrapText="1"/>
    </xf>
    <xf numFmtId="49" fontId="43" fillId="9" borderId="13" xfId="0" applyNumberFormat="1" applyFont="1" applyFill="1" applyBorder="1" applyAlignment="1">
      <alignment horizontal="center" vertical="center" wrapText="1"/>
    </xf>
    <xf numFmtId="49" fontId="43" fillId="10" borderId="3" xfId="0" applyNumberFormat="1" applyFont="1" applyFill="1" applyBorder="1" applyAlignment="1">
      <alignment horizontal="center" vertical="center" wrapText="1"/>
    </xf>
    <xf numFmtId="0" fontId="43" fillId="10" borderId="3" xfId="0" applyFont="1" applyFill="1" applyBorder="1" applyAlignment="1">
      <alignment horizontal="center" vertical="center" wrapText="1"/>
    </xf>
    <xf numFmtId="49" fontId="43" fillId="10" borderId="15" xfId="0" applyNumberFormat="1" applyFont="1" applyFill="1" applyBorder="1" applyAlignment="1">
      <alignment horizontal="center" vertical="center" wrapText="1"/>
    </xf>
    <xf numFmtId="0" fontId="43" fillId="10" borderId="12" xfId="0" applyFont="1" applyFill="1" applyBorder="1" applyAlignment="1">
      <alignment horizontal="center" vertical="center" wrapText="1"/>
    </xf>
    <xf numFmtId="49" fontId="43" fillId="2" borderId="14" xfId="0" applyNumberFormat="1" applyFont="1" applyFill="1" applyBorder="1" applyAlignment="1">
      <alignment horizontal="center" vertical="center" wrapText="1"/>
    </xf>
    <xf numFmtId="49" fontId="43" fillId="2" borderId="15" xfId="0" applyNumberFormat="1" applyFont="1" applyFill="1" applyBorder="1" applyAlignment="1">
      <alignment horizontal="center" vertical="center" wrapText="1"/>
    </xf>
    <xf numFmtId="49" fontId="43" fillId="2" borderId="16" xfId="0" applyNumberFormat="1" applyFont="1" applyFill="1" applyBorder="1" applyAlignment="1">
      <alignment horizontal="center" vertical="center" wrapText="1"/>
    </xf>
    <xf numFmtId="0" fontId="43" fillId="2" borderId="11" xfId="0" applyFont="1" applyFill="1" applyBorder="1" applyAlignment="1">
      <alignment horizontal="center" vertical="center" wrapText="1"/>
    </xf>
    <xf numFmtId="0" fontId="43" fillId="2" borderId="12" xfId="0" applyFont="1" applyFill="1" applyBorder="1" applyAlignment="1">
      <alignment horizontal="center" vertical="center" wrapText="1"/>
    </xf>
    <xf numFmtId="0" fontId="43" fillId="2" borderId="13" xfId="0" applyFont="1" applyFill="1" applyBorder="1" applyAlignment="1">
      <alignment horizontal="center" vertical="center" wrapText="1"/>
    </xf>
    <xf numFmtId="49" fontId="44" fillId="5" borderId="0" xfId="0" applyNumberFormat="1" applyFont="1" applyFill="1" applyBorder="1" applyAlignment="1">
      <alignment horizontal="center" vertical="center"/>
    </xf>
    <xf numFmtId="0" fontId="43" fillId="11" borderId="11" xfId="0" applyFont="1" applyFill="1" applyBorder="1" applyAlignment="1">
      <alignment horizontal="center" vertical="center" wrapText="1"/>
    </xf>
    <xf numFmtId="0" fontId="43" fillId="11" borderId="12" xfId="0" applyFont="1" applyFill="1" applyBorder="1" applyAlignment="1">
      <alignment horizontal="center" vertical="center" wrapText="1"/>
    </xf>
    <xf numFmtId="0" fontId="43" fillId="11" borderId="13" xfId="0" applyFont="1" applyFill="1" applyBorder="1" applyAlignment="1">
      <alignment horizontal="center" vertical="center" wrapText="1"/>
    </xf>
    <xf numFmtId="49" fontId="43" fillId="11" borderId="14" xfId="0" applyNumberFormat="1" applyFont="1" applyFill="1" applyBorder="1" applyAlignment="1">
      <alignment horizontal="center" vertical="center" wrapText="1"/>
    </xf>
    <xf numFmtId="49" fontId="43" fillId="11" borderId="15" xfId="0" applyNumberFormat="1" applyFont="1" applyFill="1" applyBorder="1" applyAlignment="1">
      <alignment horizontal="center" vertical="center" wrapText="1"/>
    </xf>
    <xf numFmtId="49" fontId="43" fillId="11" borderId="16" xfId="0" applyNumberFormat="1" applyFont="1" applyFill="1" applyBorder="1" applyAlignment="1">
      <alignment horizontal="center" vertical="center" wrapText="1"/>
    </xf>
    <xf numFmtId="0" fontId="43" fillId="9" borderId="13" xfId="0" applyFont="1" applyFill="1" applyBorder="1" applyAlignment="1">
      <alignment horizontal="center" vertical="center" wrapText="1"/>
    </xf>
    <xf numFmtId="0" fontId="43" fillId="6" borderId="11" xfId="0" applyFont="1" applyFill="1" applyBorder="1" applyAlignment="1">
      <alignment horizontal="center" vertical="center" wrapText="1"/>
    </xf>
    <xf numFmtId="0" fontId="43" fillId="6" borderId="12" xfId="0" applyFont="1" applyFill="1" applyBorder="1" applyAlignment="1">
      <alignment horizontal="center" vertical="center" wrapText="1"/>
    </xf>
    <xf numFmtId="0" fontId="43" fillId="6" borderId="13" xfId="0" applyFont="1" applyFill="1" applyBorder="1" applyAlignment="1">
      <alignment horizontal="center" vertical="center" wrapText="1"/>
    </xf>
    <xf numFmtId="49" fontId="7" fillId="6" borderId="14" xfId="0" applyNumberFormat="1" applyFont="1" applyFill="1" applyBorder="1" applyAlignment="1">
      <alignment horizontal="center" vertical="center" wrapText="1"/>
    </xf>
    <xf numFmtId="49" fontId="7" fillId="6" borderId="15" xfId="0" applyNumberFormat="1" applyFont="1" applyFill="1" applyBorder="1" applyAlignment="1">
      <alignment horizontal="center" vertical="center" wrapText="1"/>
    </xf>
    <xf numFmtId="49" fontId="7" fillId="6" borderId="16" xfId="0" applyNumberFormat="1" applyFont="1" applyFill="1" applyBorder="1" applyAlignment="1">
      <alignment horizontal="center" vertical="center" wrapText="1"/>
    </xf>
    <xf numFmtId="49" fontId="7" fillId="10" borderId="14" xfId="0" applyNumberFormat="1" applyFont="1" applyFill="1" applyBorder="1" applyAlignment="1">
      <alignment horizontal="center" vertical="center" wrapText="1"/>
    </xf>
    <xf numFmtId="49" fontId="7" fillId="10" borderId="15" xfId="0" applyNumberFormat="1" applyFont="1" applyFill="1" applyBorder="1" applyAlignment="1">
      <alignment horizontal="center" vertical="center" wrapText="1"/>
    </xf>
    <xf numFmtId="49" fontId="7" fillId="10" borderId="16" xfId="0" applyNumberFormat="1" applyFont="1" applyFill="1" applyBorder="1" applyAlignment="1">
      <alignment horizontal="center" vertical="center" wrapText="1"/>
    </xf>
    <xf numFmtId="0" fontId="43" fillId="10" borderId="11" xfId="0" applyFont="1" applyFill="1" applyBorder="1" applyAlignment="1">
      <alignment horizontal="center" vertical="center" wrapText="1"/>
    </xf>
    <xf numFmtId="0" fontId="43" fillId="10" borderId="13" xfId="0" applyFont="1" applyFill="1" applyBorder="1" applyAlignment="1">
      <alignment horizontal="center" vertical="center" wrapText="1"/>
    </xf>
    <xf numFmtId="9" fontId="40" fillId="0" borderId="87" xfId="0" applyNumberFormat="1" applyFont="1" applyBorder="1" applyAlignment="1" applyProtection="1">
      <alignment horizontal="center" vertical="center"/>
      <protection hidden="1"/>
    </xf>
    <xf numFmtId="9" fontId="40" fillId="0" borderId="88" xfId="0" applyNumberFormat="1" applyFont="1" applyBorder="1" applyAlignment="1" applyProtection="1">
      <alignment horizontal="center" vertical="center"/>
      <protection hidden="1"/>
    </xf>
    <xf numFmtId="9" fontId="27" fillId="7" borderId="84" xfId="1" applyFont="1" applyFill="1" applyBorder="1" applyAlignment="1" applyProtection="1">
      <alignment horizontal="center" vertical="center"/>
      <protection hidden="1"/>
    </xf>
    <xf numFmtId="9" fontId="27" fillId="7" borderId="85" xfId="1" applyFont="1" applyFill="1" applyBorder="1" applyAlignment="1" applyProtection="1">
      <alignment horizontal="center" vertical="center"/>
      <protection hidden="1"/>
    </xf>
    <xf numFmtId="9" fontId="27" fillId="7" borderId="86" xfId="1" applyFont="1" applyFill="1" applyBorder="1" applyAlignment="1" applyProtection="1">
      <alignment horizontal="center" vertical="center"/>
      <protection hidden="1"/>
    </xf>
    <xf numFmtId="0" fontId="26" fillId="9" borderId="14" xfId="0" applyFont="1" applyFill="1" applyBorder="1" applyAlignment="1">
      <alignment horizontal="center" vertical="center" textRotation="90"/>
    </xf>
    <xf numFmtId="0" fontId="26" fillId="9" borderId="15" xfId="0" applyFont="1" applyFill="1" applyBorder="1" applyAlignment="1">
      <alignment horizontal="center" vertical="center" textRotation="90"/>
    </xf>
    <xf numFmtId="0" fontId="26" fillId="9" borderId="16" xfId="0" applyFont="1" applyFill="1" applyBorder="1" applyAlignment="1">
      <alignment horizontal="center" vertical="center" textRotation="90"/>
    </xf>
    <xf numFmtId="9" fontId="40" fillId="4" borderId="87" xfId="0" applyNumberFormat="1" applyFont="1" applyFill="1" applyBorder="1" applyAlignment="1" applyProtection="1">
      <alignment horizontal="center" vertical="center"/>
      <protection hidden="1"/>
    </xf>
    <xf numFmtId="9" fontId="40" fillId="4" borderId="88" xfId="0" applyNumberFormat="1" applyFont="1" applyFill="1" applyBorder="1" applyAlignment="1" applyProtection="1">
      <alignment horizontal="center" vertical="center"/>
      <protection hidden="1"/>
    </xf>
    <xf numFmtId="9" fontId="40" fillId="4" borderId="89" xfId="0" applyNumberFormat="1" applyFont="1" applyFill="1" applyBorder="1" applyAlignment="1" applyProtection="1">
      <alignment horizontal="center" vertical="center"/>
      <protection hidden="1"/>
    </xf>
    <xf numFmtId="0" fontId="26" fillId="11" borderId="15" xfId="0" applyFont="1" applyFill="1" applyBorder="1" applyAlignment="1">
      <alignment horizontal="center" vertical="center" textRotation="90"/>
    </xf>
    <xf numFmtId="0" fontId="26" fillId="2" borderId="14" xfId="0" applyFont="1" applyFill="1" applyBorder="1" applyAlignment="1">
      <alignment horizontal="center" vertical="center" textRotation="90"/>
    </xf>
    <xf numFmtId="0" fontId="26" fillId="2" borderId="15" xfId="0" applyFont="1" applyFill="1" applyBorder="1" applyAlignment="1">
      <alignment horizontal="center" vertical="center" textRotation="90"/>
    </xf>
    <xf numFmtId="0" fontId="26" fillId="2" borderId="16" xfId="0" applyFont="1" applyFill="1" applyBorder="1" applyAlignment="1">
      <alignment horizontal="center" vertical="center" textRotation="90"/>
    </xf>
    <xf numFmtId="9" fontId="40" fillId="0" borderId="89" xfId="0" applyNumberFormat="1" applyFont="1" applyBorder="1" applyAlignment="1" applyProtection="1">
      <alignment horizontal="center" vertical="center"/>
      <protection hidden="1"/>
    </xf>
    <xf numFmtId="0" fontId="26" fillId="10" borderId="14" xfId="0" applyFont="1" applyFill="1" applyBorder="1" applyAlignment="1">
      <alignment horizontal="center" vertical="center" textRotation="90"/>
    </xf>
    <xf numFmtId="0" fontId="26" fillId="10" borderId="15" xfId="0" applyFont="1" applyFill="1" applyBorder="1" applyAlignment="1">
      <alignment horizontal="center" vertical="center" textRotation="90"/>
    </xf>
    <xf numFmtId="0" fontId="18" fillId="3" borderId="32" xfId="2" applyFont="1" applyFill="1" applyBorder="1" applyAlignment="1" applyProtection="1">
      <alignment horizontal="center" vertical="center" wrapText="1"/>
    </xf>
    <xf numFmtId="0" fontId="18" fillId="3" borderId="33" xfId="2" applyFont="1" applyFill="1" applyBorder="1" applyAlignment="1" applyProtection="1">
      <alignment horizontal="center" vertical="center" wrapText="1"/>
    </xf>
    <xf numFmtId="0" fontId="22" fillId="6" borderId="14" xfId="0" applyFont="1" applyFill="1" applyBorder="1" applyAlignment="1">
      <alignment horizontal="center" vertical="center" textRotation="90" wrapText="1"/>
    </xf>
    <xf numFmtId="0" fontId="22" fillId="6" borderId="15" xfId="0" applyFont="1" applyFill="1" applyBorder="1" applyAlignment="1">
      <alignment horizontal="center" vertical="center" textRotation="90" wrapText="1"/>
    </xf>
    <xf numFmtId="0" fontId="22" fillId="6" borderId="16" xfId="0" applyFont="1" applyFill="1" applyBorder="1" applyAlignment="1">
      <alignment horizontal="center" vertical="center" textRotation="90" wrapText="1"/>
    </xf>
    <xf numFmtId="0" fontId="18" fillId="2" borderId="37" xfId="2" applyFont="1" applyFill="1" applyBorder="1" applyAlignment="1" applyProtection="1">
      <alignment horizontal="center" vertical="center" wrapText="1"/>
    </xf>
    <xf numFmtId="0" fontId="18" fillId="2" borderId="83" xfId="2" applyFont="1" applyFill="1" applyBorder="1" applyAlignment="1" applyProtection="1">
      <alignment horizontal="center" vertical="center" wrapText="1"/>
    </xf>
    <xf numFmtId="0" fontId="18" fillId="2" borderId="38" xfId="2" applyFont="1" applyFill="1" applyBorder="1" applyAlignment="1" applyProtection="1">
      <alignment horizontal="center" vertical="center" wrapText="1"/>
    </xf>
    <xf numFmtId="0" fontId="18" fillId="2" borderId="39" xfId="2" applyFont="1" applyFill="1" applyBorder="1" applyAlignment="1" applyProtection="1">
      <alignment horizontal="center" vertical="center" wrapText="1"/>
    </xf>
    <xf numFmtId="0" fontId="18" fillId="2" borderId="40" xfId="2" applyFont="1" applyFill="1" applyBorder="1" applyAlignment="1" applyProtection="1">
      <alignment horizontal="center" vertical="center" wrapText="1"/>
    </xf>
    <xf numFmtId="0" fontId="18" fillId="2" borderId="42" xfId="2" applyFont="1" applyFill="1" applyBorder="1" applyAlignment="1" applyProtection="1">
      <alignment horizontal="center" vertical="center" wrapText="1"/>
    </xf>
    <xf numFmtId="0" fontId="18" fillId="2" borderId="41" xfId="2" applyFont="1" applyFill="1" applyBorder="1" applyAlignment="1" applyProtection="1">
      <alignment horizontal="center" vertical="center" wrapText="1"/>
    </xf>
    <xf numFmtId="0" fontId="18" fillId="2" borderId="43" xfId="2" applyFont="1" applyFill="1" applyBorder="1" applyAlignment="1" applyProtection="1">
      <alignment horizontal="center" vertical="center" wrapText="1"/>
    </xf>
    <xf numFmtId="0" fontId="5" fillId="2" borderId="24"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5" xfId="0" applyFont="1" applyFill="1" applyBorder="1" applyAlignment="1">
      <alignment horizontal="center" vertical="center"/>
    </xf>
    <xf numFmtId="49" fontId="48" fillId="4" borderId="91" xfId="0" applyNumberFormat="1" applyFont="1" applyFill="1" applyBorder="1" applyAlignment="1">
      <alignment horizontal="left" vertical="center" wrapText="1"/>
    </xf>
    <xf numFmtId="49" fontId="48" fillId="4" borderId="3" xfId="0" applyNumberFormat="1" applyFont="1" applyFill="1" applyBorder="1" applyAlignment="1">
      <alignment horizontal="left" vertical="center" wrapText="1"/>
    </xf>
    <xf numFmtId="49" fontId="48" fillId="4" borderId="92" xfId="0" applyNumberFormat="1" applyFont="1" applyFill="1" applyBorder="1" applyAlignment="1">
      <alignment horizontal="left" vertical="center" wrapText="1"/>
    </xf>
    <xf numFmtId="49" fontId="48" fillId="4" borderId="4" xfId="0" applyNumberFormat="1" applyFont="1" applyFill="1" applyBorder="1" applyAlignment="1">
      <alignment horizontal="left" vertical="center" wrapText="1"/>
    </xf>
    <xf numFmtId="0" fontId="50" fillId="2" borderId="7" xfId="0" applyFont="1" applyFill="1" applyBorder="1" applyAlignment="1">
      <alignment horizontal="center" vertical="center" wrapText="1"/>
    </xf>
    <xf numFmtId="0" fontId="50" fillId="2" borderId="6" xfId="0" applyFont="1" applyFill="1" applyBorder="1" applyAlignment="1">
      <alignment horizontal="center" vertical="center" wrapText="1"/>
    </xf>
    <xf numFmtId="0" fontId="55" fillId="4" borderId="3" xfId="0" applyFont="1" applyFill="1" applyBorder="1" applyAlignment="1" applyProtection="1">
      <alignment horizontal="center" vertical="center"/>
      <protection locked="0"/>
    </xf>
    <xf numFmtId="164" fontId="55" fillId="4" borderId="22" xfId="0" applyNumberFormat="1" applyFont="1" applyFill="1" applyBorder="1" applyAlignment="1" applyProtection="1">
      <alignment horizontal="center" vertical="center"/>
      <protection locked="0"/>
    </xf>
    <xf numFmtId="164" fontId="55" fillId="4" borderId="23" xfId="0" applyNumberFormat="1" applyFont="1" applyFill="1" applyBorder="1" applyAlignment="1" applyProtection="1">
      <alignment horizontal="center" vertical="center"/>
      <protection locked="0"/>
    </xf>
    <xf numFmtId="164" fontId="55" fillId="4" borderId="9" xfId="0" applyNumberFormat="1" applyFont="1" applyFill="1" applyBorder="1" applyAlignment="1" applyProtection="1">
      <alignment horizontal="center" vertical="center"/>
      <protection locked="0"/>
    </xf>
    <xf numFmtId="0" fontId="51" fillId="2" borderId="24" xfId="0" applyFont="1" applyFill="1" applyBorder="1" applyAlignment="1">
      <alignment horizontal="center" vertical="center" wrapText="1"/>
    </xf>
    <xf numFmtId="0" fontId="51" fillId="2" borderId="1" xfId="0" applyFont="1" applyFill="1" applyBorder="1" applyAlignment="1">
      <alignment horizontal="center" vertical="center" wrapText="1"/>
    </xf>
    <xf numFmtId="0" fontId="51" fillId="2" borderId="25" xfId="0" applyFont="1" applyFill="1" applyBorder="1" applyAlignment="1">
      <alignment horizontal="center" vertical="center" wrapText="1"/>
    </xf>
    <xf numFmtId="0" fontId="8" fillId="2" borderId="27"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29" xfId="0" applyFont="1" applyFill="1" applyBorder="1" applyAlignment="1">
      <alignment horizontal="center" vertical="center"/>
    </xf>
    <xf numFmtId="49" fontId="48" fillId="4" borderId="90" xfId="0" applyNumberFormat="1" applyFont="1" applyFill="1" applyBorder="1" applyAlignment="1">
      <alignment horizontal="left" vertical="center" wrapText="1"/>
    </xf>
    <xf numFmtId="49" fontId="48" fillId="4" borderId="2" xfId="0" applyNumberFormat="1" applyFont="1" applyFill="1" applyBorder="1" applyAlignment="1">
      <alignment horizontal="left" vertical="center" wrapText="1"/>
    </xf>
    <xf numFmtId="49" fontId="0" fillId="4" borderId="2" xfId="0" applyNumberFormat="1" applyFill="1" applyBorder="1" applyAlignment="1" applyProtection="1">
      <alignment horizontal="left" vertical="top" wrapText="1"/>
      <protection locked="0"/>
    </xf>
    <xf numFmtId="49" fontId="0" fillId="4" borderId="84" xfId="0" applyNumberFormat="1" applyFill="1" applyBorder="1" applyAlignment="1" applyProtection="1">
      <alignment horizontal="left" vertical="top" wrapText="1"/>
      <protection locked="0"/>
    </xf>
    <xf numFmtId="49" fontId="0" fillId="4" borderId="3" xfId="0" applyNumberFormat="1" applyFill="1" applyBorder="1" applyAlignment="1" applyProtection="1">
      <alignment horizontal="left" vertical="top" wrapText="1"/>
      <protection locked="0"/>
    </xf>
    <xf numFmtId="49" fontId="0" fillId="4" borderId="85" xfId="0" applyNumberFormat="1" applyFill="1" applyBorder="1" applyAlignment="1" applyProtection="1">
      <alignment horizontal="left" vertical="top" wrapText="1"/>
      <protection locked="0"/>
    </xf>
    <xf numFmtId="49" fontId="0" fillId="4" borderId="4" xfId="0" applyNumberFormat="1" applyFill="1" applyBorder="1" applyAlignment="1" applyProtection="1">
      <alignment horizontal="left" vertical="top" wrapText="1"/>
      <protection locked="0"/>
    </xf>
    <xf numFmtId="49" fontId="0" fillId="4" borderId="86" xfId="0" applyNumberFormat="1" applyFill="1" applyBorder="1" applyAlignment="1" applyProtection="1">
      <alignment horizontal="left" vertical="top" wrapText="1"/>
      <protection locked="0"/>
    </xf>
    <xf numFmtId="0" fontId="0" fillId="0" borderId="24" xfId="0"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25" xfId="0" applyBorder="1" applyAlignment="1" applyProtection="1">
      <alignment horizontal="left" vertical="top"/>
      <protection locked="0"/>
    </xf>
    <xf numFmtId="0" fontId="0" fillId="0" borderId="24"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51" fillId="12" borderId="0" xfId="0" applyFont="1" applyFill="1" applyBorder="1" applyAlignment="1">
      <alignment horizontal="center" vertical="center" wrapText="1"/>
    </xf>
    <xf numFmtId="0" fontId="56" fillId="0" borderId="24" xfId="0" applyFont="1" applyFill="1" applyBorder="1" applyAlignment="1" applyProtection="1">
      <alignment horizontal="left" vertical="top"/>
      <protection locked="0"/>
    </xf>
    <xf numFmtId="0" fontId="56" fillId="0" borderId="1" xfId="0" applyFont="1" applyFill="1" applyBorder="1" applyAlignment="1" applyProtection="1">
      <alignment horizontal="left" vertical="top"/>
      <protection locked="0"/>
    </xf>
    <xf numFmtId="0" fontId="56" fillId="0" borderId="25" xfId="0" applyFont="1" applyFill="1" applyBorder="1" applyAlignment="1" applyProtection="1">
      <alignment horizontal="left" vertical="top"/>
      <protection locked="0"/>
    </xf>
    <xf numFmtId="0" fontId="0" fillId="0" borderId="73" xfId="0" applyBorder="1" applyAlignment="1">
      <alignment horizontal="center"/>
    </xf>
    <xf numFmtId="0" fontId="0" fillId="0" borderId="1" xfId="0" applyBorder="1" applyAlignment="1">
      <alignment horizontal="center"/>
    </xf>
    <xf numFmtId="0" fontId="35" fillId="7" borderId="79" xfId="0" applyFont="1" applyFill="1" applyBorder="1" applyAlignment="1" applyProtection="1">
      <alignment horizontal="left" vertical="center" wrapText="1"/>
      <protection locked="0"/>
    </xf>
    <xf numFmtId="0" fontId="45" fillId="7" borderId="2" xfId="0" applyFont="1" applyFill="1" applyBorder="1" applyAlignment="1">
      <alignment horizontal="center" vertical="center" wrapText="1"/>
    </xf>
    <xf numFmtId="0" fontId="45" fillId="7" borderId="2" xfId="0" applyFont="1" applyFill="1" applyBorder="1" applyAlignment="1">
      <alignment horizontal="left" vertical="center" wrapText="1"/>
    </xf>
    <xf numFmtId="0" fontId="42" fillId="7" borderId="2" xfId="0" applyFont="1" applyFill="1" applyBorder="1" applyAlignment="1" applyProtection="1">
      <alignment horizontal="center" vertical="center" wrapText="1"/>
      <protection locked="0"/>
    </xf>
    <xf numFmtId="0" fontId="37" fillId="7" borderId="79" xfId="0" applyFont="1" applyFill="1" applyBorder="1" applyAlignment="1" applyProtection="1">
      <alignment horizontal="center" vertical="center" wrapText="1"/>
      <protection hidden="1"/>
    </xf>
    <xf numFmtId="0" fontId="45" fillId="7" borderId="3" xfId="0" applyFont="1" applyFill="1" applyBorder="1" applyAlignment="1">
      <alignment horizontal="center" vertical="center" wrapText="1"/>
    </xf>
    <xf numFmtId="0" fontId="45" fillId="7" borderId="3" xfId="0" applyFont="1" applyFill="1" applyBorder="1" applyAlignment="1">
      <alignment horizontal="left" vertical="center" wrapText="1"/>
    </xf>
    <xf numFmtId="0" fontId="42" fillId="7" borderId="3" xfId="0" applyFont="1" applyFill="1" applyBorder="1" applyAlignment="1" applyProtection="1">
      <alignment horizontal="center" vertical="center" wrapText="1"/>
      <protection locked="0"/>
    </xf>
    <xf numFmtId="0" fontId="35" fillId="7" borderId="9" xfId="0" applyFont="1" applyFill="1" applyBorder="1" applyAlignment="1" applyProtection="1">
      <alignment horizontal="left" vertical="center" wrapText="1"/>
      <protection locked="0"/>
    </xf>
    <xf numFmtId="0" fontId="37" fillId="7" borderId="9" xfId="0" applyFont="1" applyFill="1" applyBorder="1" applyAlignment="1" applyProtection="1">
      <alignment horizontal="center" vertical="center" wrapText="1"/>
      <protection hidden="1"/>
    </xf>
    <xf numFmtId="0" fontId="57" fillId="0" borderId="2" xfId="0" applyFont="1" applyBorder="1" applyAlignment="1" applyProtection="1">
      <alignment horizontal="left" vertical="center" wrapText="1"/>
      <protection hidden="1"/>
    </xf>
    <xf numFmtId="0" fontId="57" fillId="0" borderId="3" xfId="0" applyFont="1" applyBorder="1" applyAlignment="1" applyProtection="1">
      <alignment horizontal="left" vertical="center" wrapText="1"/>
      <protection hidden="1"/>
    </xf>
    <xf numFmtId="0" fontId="57" fillId="0" borderId="4" xfId="0" applyFont="1" applyBorder="1" applyAlignment="1" applyProtection="1">
      <alignment horizontal="left" vertical="center" wrapText="1"/>
      <protection hidden="1"/>
    </xf>
    <xf numFmtId="0" fontId="57" fillId="0" borderId="7" xfId="0" applyFont="1" applyBorder="1" applyAlignment="1" applyProtection="1">
      <alignment horizontal="left" vertical="center" wrapText="1"/>
      <protection hidden="1"/>
    </xf>
    <xf numFmtId="0" fontId="57" fillId="0" borderId="6" xfId="0" applyFont="1" applyBorder="1" applyAlignment="1" applyProtection="1">
      <alignment horizontal="left" vertical="center" wrapText="1"/>
      <protection hidden="1"/>
    </xf>
  </cellXfs>
  <cellStyles count="5">
    <cellStyle name="Normal" xfId="0" builtinId="0"/>
    <cellStyle name="Normal - Style1 2" xfId="3"/>
    <cellStyle name="Normal 2" xfId="2"/>
    <cellStyle name="Normal 2 2" xfId="4"/>
    <cellStyle name="Porcentaje" xfId="1" builtinId="5"/>
  </cellStyles>
  <dxfs count="20">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1050132</xdr:colOff>
      <xdr:row>0</xdr:row>
      <xdr:rowOff>66818</xdr:rowOff>
    </xdr:from>
    <xdr:to>
      <xdr:col>7</xdr:col>
      <xdr:colOff>726282</xdr:colOff>
      <xdr:row>11</xdr:row>
      <xdr:rowOff>47624</xdr:rowOff>
    </xdr:to>
    <xdr:pic>
      <xdr:nvPicPr>
        <xdr:cNvPr id="2" name="Imagen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7169945" y="66818"/>
          <a:ext cx="3676650" cy="2338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281667</xdr:colOff>
      <xdr:row>7</xdr:row>
      <xdr:rowOff>102768</xdr:rowOff>
    </xdr:from>
    <xdr:to>
      <xdr:col>6</xdr:col>
      <xdr:colOff>595313</xdr:colOff>
      <xdr:row>14</xdr:row>
      <xdr:rowOff>55289</xdr:rowOff>
    </xdr:to>
    <xdr:pic>
      <xdr:nvPicPr>
        <xdr:cNvPr id="4"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4567917" y="2037534"/>
          <a:ext cx="3959935" cy="23486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ll\Desktop\cesar\HISTORICOS\2020-04-22_Formato_informe_sci_parametrizado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Definiciones"/>
      <sheetName val="Ambiente de Control"/>
      <sheetName val="Evaluación de riesgos"/>
      <sheetName val="Actividades de control"/>
      <sheetName val="Info y Comunicación"/>
      <sheetName val="Actividades de Monitoreo"/>
      <sheetName val="Analisis de Resultados"/>
      <sheetName val="Conclusiones"/>
      <sheetName val="Hoja1"/>
      <sheetName val="Hoja4"/>
      <sheetName val="Hoja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90" zoomScaleNormal="90" workbookViewId="0">
      <selection activeCell="B3" sqref="B3:H4"/>
    </sheetView>
  </sheetViews>
  <sheetFormatPr baseColWidth="10" defaultColWidth="0" defaultRowHeight="12.75" zeroHeight="1" x14ac:dyDescent="0.2"/>
  <cols>
    <col min="1" max="1" width="3.85546875" style="45" customWidth="1"/>
    <col min="2" max="2" width="15.28515625" style="45" customWidth="1"/>
    <col min="3" max="3" width="17.28515625" style="45" customWidth="1"/>
    <col min="4" max="4" width="28.5703125" style="45" customWidth="1"/>
    <col min="5" max="5" width="12.85546875" style="45" customWidth="1"/>
    <col min="6" max="6" width="47.140625" style="45" customWidth="1"/>
    <col min="7" max="7" width="21.42578125" style="45" customWidth="1"/>
    <col min="8" max="8" width="6.5703125" style="45" customWidth="1"/>
    <col min="9" max="9" width="2.5703125" style="45" customWidth="1"/>
    <col min="10" max="16384" width="11.42578125" style="45" hidden="1"/>
  </cols>
  <sheetData>
    <row r="1" spans="2:8" ht="13.5" thickBot="1" x14ac:dyDescent="0.25"/>
    <row r="2" spans="2:8" ht="73.5" customHeight="1" x14ac:dyDescent="0.2">
      <c r="B2" s="159" t="s">
        <v>0</v>
      </c>
      <c r="C2" s="160"/>
      <c r="D2" s="160"/>
      <c r="E2" s="160"/>
      <c r="F2" s="160"/>
      <c r="G2" s="160"/>
      <c r="H2" s="161"/>
    </row>
    <row r="3" spans="2:8" ht="65.25" customHeight="1" x14ac:dyDescent="0.2">
      <c r="B3" s="162" t="s">
        <v>1</v>
      </c>
      <c r="C3" s="163"/>
      <c r="D3" s="163"/>
      <c r="E3" s="163"/>
      <c r="F3" s="163"/>
      <c r="G3" s="163"/>
      <c r="H3" s="164"/>
    </row>
    <row r="4" spans="2:8" ht="82.5" customHeight="1" x14ac:dyDescent="0.2">
      <c r="B4" s="162"/>
      <c r="C4" s="163"/>
      <c r="D4" s="163"/>
      <c r="E4" s="163"/>
      <c r="F4" s="163"/>
      <c r="G4" s="163"/>
      <c r="H4" s="164"/>
    </row>
    <row r="5" spans="2:8" ht="21.75" customHeight="1" x14ac:dyDescent="0.2">
      <c r="B5" s="165" t="s">
        <v>2</v>
      </c>
      <c r="C5" s="166"/>
      <c r="D5" s="166"/>
      <c r="E5" s="166"/>
      <c r="F5" s="166"/>
      <c r="G5" s="166"/>
      <c r="H5" s="167"/>
    </row>
    <row r="6" spans="2:8" ht="42" customHeight="1" x14ac:dyDescent="0.2">
      <c r="B6" s="168" t="s">
        <v>3</v>
      </c>
      <c r="C6" s="169"/>
      <c r="D6" s="169"/>
      <c r="E6" s="169"/>
      <c r="F6" s="169"/>
      <c r="G6" s="169"/>
      <c r="H6" s="170"/>
    </row>
    <row r="7" spans="2:8" ht="14.25" customHeight="1" x14ac:dyDescent="0.2">
      <c r="B7" s="168"/>
      <c r="C7" s="169"/>
      <c r="D7" s="169"/>
      <c r="E7" s="169"/>
      <c r="F7" s="169"/>
      <c r="G7" s="169"/>
      <c r="H7" s="170"/>
    </row>
    <row r="8" spans="2:8" ht="12.75" customHeight="1" thickBot="1" x14ac:dyDescent="0.25">
      <c r="B8" s="57"/>
      <c r="C8" s="51"/>
      <c r="D8" s="67"/>
      <c r="E8" s="68"/>
      <c r="F8" s="68"/>
      <c r="G8" s="65"/>
      <c r="H8" s="66"/>
    </row>
    <row r="9" spans="2:8" ht="21" customHeight="1" thickTop="1" x14ac:dyDescent="0.2">
      <c r="B9" s="57"/>
      <c r="C9" s="171" t="s">
        <v>4</v>
      </c>
      <c r="D9" s="172"/>
      <c r="E9" s="173" t="s">
        <v>5</v>
      </c>
      <c r="F9" s="174"/>
      <c r="G9" s="51"/>
      <c r="H9" s="59"/>
    </row>
    <row r="10" spans="2:8" ht="37.5" customHeight="1" x14ac:dyDescent="0.2">
      <c r="B10" s="57"/>
      <c r="C10" s="175" t="s">
        <v>6</v>
      </c>
      <c r="D10" s="176"/>
      <c r="E10" s="177" t="s">
        <v>7</v>
      </c>
      <c r="F10" s="178"/>
      <c r="G10" s="51"/>
      <c r="H10" s="59"/>
    </row>
    <row r="11" spans="2:8" ht="39.75" customHeight="1" x14ac:dyDescent="0.2">
      <c r="B11" s="57"/>
      <c r="C11" s="179" t="s">
        <v>8</v>
      </c>
      <c r="D11" s="180"/>
      <c r="E11" s="181" t="s">
        <v>9</v>
      </c>
      <c r="F11" s="182"/>
      <c r="G11" s="51"/>
      <c r="H11" s="59"/>
    </row>
    <row r="12" spans="2:8" ht="59.25" customHeight="1" x14ac:dyDescent="0.2">
      <c r="B12" s="57"/>
      <c r="C12" s="179" t="s">
        <v>10</v>
      </c>
      <c r="D12" s="180"/>
      <c r="E12" s="183" t="s">
        <v>11</v>
      </c>
      <c r="F12" s="184"/>
      <c r="G12" s="51"/>
      <c r="H12" s="59"/>
    </row>
    <row r="13" spans="2:8" ht="33.75" customHeight="1" x14ac:dyDescent="0.2">
      <c r="B13" s="57"/>
      <c r="C13" s="189" t="s">
        <v>12</v>
      </c>
      <c r="D13" s="190"/>
      <c r="E13" s="181" t="s">
        <v>13</v>
      </c>
      <c r="F13" s="182"/>
      <c r="G13" s="51"/>
      <c r="H13" s="59"/>
    </row>
    <row r="14" spans="2:8" ht="19.5" customHeight="1" x14ac:dyDescent="0.2">
      <c r="B14" s="57"/>
      <c r="C14" s="63"/>
      <c r="D14" s="63"/>
      <c r="E14" s="64"/>
      <c r="F14" s="64"/>
      <c r="G14" s="51"/>
      <c r="H14" s="59"/>
    </row>
    <row r="15" spans="2:8" ht="37.5" customHeight="1" thickBot="1" x14ac:dyDescent="0.25">
      <c r="B15" s="185" t="s">
        <v>14</v>
      </c>
      <c r="C15" s="186"/>
      <c r="D15" s="186"/>
      <c r="E15" s="186"/>
      <c r="F15" s="186"/>
      <c r="G15" s="186"/>
      <c r="H15" s="187"/>
    </row>
    <row r="16" spans="2:8" ht="27.75" customHeight="1" thickBot="1" x14ac:dyDescent="0.25">
      <c r="B16" s="57"/>
      <c r="C16" s="191" t="s">
        <v>15</v>
      </c>
      <c r="D16" s="192"/>
      <c r="E16" s="192" t="s">
        <v>16</v>
      </c>
      <c r="F16" s="203"/>
      <c r="G16" s="51"/>
      <c r="H16" s="59"/>
    </row>
    <row r="17" spans="2:8" ht="27.75" customHeight="1" x14ac:dyDescent="0.2">
      <c r="B17" s="57"/>
      <c r="C17" s="204" t="s">
        <v>17</v>
      </c>
      <c r="D17" s="205"/>
      <c r="E17" s="206" t="s">
        <v>18</v>
      </c>
      <c r="F17" s="207"/>
      <c r="G17" s="101"/>
      <c r="H17" s="59"/>
    </row>
    <row r="18" spans="2:8" ht="41.25" customHeight="1" x14ac:dyDescent="0.2">
      <c r="B18" s="57"/>
      <c r="C18" s="193" t="s">
        <v>19</v>
      </c>
      <c r="D18" s="194"/>
      <c r="E18" s="195" t="s">
        <v>20</v>
      </c>
      <c r="F18" s="196"/>
      <c r="G18" s="102"/>
      <c r="H18" s="59"/>
    </row>
    <row r="19" spans="2:8" ht="37.5" customHeight="1" thickBot="1" x14ac:dyDescent="0.25">
      <c r="B19" s="57"/>
      <c r="C19" s="197" t="s">
        <v>21</v>
      </c>
      <c r="D19" s="198"/>
      <c r="E19" s="199" t="s">
        <v>22</v>
      </c>
      <c r="F19" s="200"/>
      <c r="G19" s="102"/>
      <c r="H19" s="59"/>
    </row>
    <row r="20" spans="2:8" ht="11.25" customHeight="1" x14ac:dyDescent="0.2">
      <c r="B20" s="52"/>
      <c r="C20" s="53"/>
      <c r="D20" s="53"/>
      <c r="E20" s="53"/>
      <c r="F20" s="53"/>
      <c r="G20" s="53"/>
      <c r="H20" s="54"/>
    </row>
    <row r="21" spans="2:8" ht="14.25" customHeight="1" x14ac:dyDescent="0.2">
      <c r="B21" s="55"/>
      <c r="C21" s="201"/>
      <c r="D21" s="201"/>
      <c r="E21" s="202"/>
      <c r="F21" s="202"/>
      <c r="G21" s="202"/>
      <c r="H21" s="56"/>
    </row>
    <row r="22" spans="2:8" ht="36" customHeight="1" x14ac:dyDescent="0.2">
      <c r="B22" s="185" t="s">
        <v>23</v>
      </c>
      <c r="C22" s="186"/>
      <c r="D22" s="186"/>
      <c r="E22" s="186"/>
      <c r="F22" s="186"/>
      <c r="G22" s="186"/>
      <c r="H22" s="187"/>
    </row>
    <row r="23" spans="2:8" ht="13.5" x14ac:dyDescent="0.2">
      <c r="B23" s="57"/>
      <c r="C23" s="58"/>
      <c r="D23" s="58"/>
      <c r="E23" s="188"/>
      <c r="F23" s="188"/>
      <c r="G23" s="51"/>
      <c r="H23" s="59"/>
    </row>
    <row r="24" spans="2:8" ht="13.5" thickBot="1" x14ac:dyDescent="0.25">
      <c r="B24" s="60"/>
      <c r="C24" s="61"/>
      <c r="D24" s="61"/>
      <c r="E24" s="61"/>
      <c r="F24" s="61"/>
      <c r="G24" s="61"/>
      <c r="H24" s="62"/>
    </row>
    <row r="25" spans="2:8" x14ac:dyDescent="0.2"/>
    <row r="26" spans="2:8" ht="29.25" customHeight="1" x14ac:dyDescent="0.2"/>
    <row r="27" spans="2:8" ht="26.25" customHeight="1" x14ac:dyDescent="0.2"/>
    <row r="28" spans="2:8" ht="43.5" customHeight="1" x14ac:dyDescent="0.2"/>
    <row r="29" spans="2:8" ht="53.25" customHeight="1" x14ac:dyDescent="0.2"/>
    <row r="30" spans="2:8" x14ac:dyDescent="0.2"/>
    <row r="31" spans="2:8" x14ac:dyDescent="0.2"/>
    <row r="32" spans="2:8" x14ac:dyDescent="0.2"/>
    <row r="33" x14ac:dyDescent="0.2"/>
    <row r="34" x14ac:dyDescent="0.2"/>
    <row r="35"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x14ac:dyDescent="0.2"/>
    <row r="52" x14ac:dyDescent="0.2"/>
    <row r="54" x14ac:dyDescent="0.2"/>
  </sheetData>
  <sheetProtection algorithmName="SHA-512" hashValue="t7sIeOvFa2bhukBsHVcHmO5gG9cifT20ZR8W/o5PL1FLs7w8K+KkEm6wLVbMVfYFM8W9luBRuNKu+qdhAWPM7w==" saltValue="H/shNuEdnFDauevCofk8Sw==" spinCount="100000" sheet="1" objects="1" scenarios="1"/>
  <mergeCells count="27">
    <mergeCell ref="B22:H22"/>
    <mergeCell ref="E23:F23"/>
    <mergeCell ref="C13:D13"/>
    <mergeCell ref="E13:F13"/>
    <mergeCell ref="C16:D16"/>
    <mergeCell ref="C18:D18"/>
    <mergeCell ref="E18:F18"/>
    <mergeCell ref="C19:D19"/>
    <mergeCell ref="E19:F19"/>
    <mergeCell ref="C21:D21"/>
    <mergeCell ref="E21:G21"/>
    <mergeCell ref="B15:H15"/>
    <mergeCell ref="E16:F16"/>
    <mergeCell ref="C17:D17"/>
    <mergeCell ref="E17:F17"/>
    <mergeCell ref="C10:D10"/>
    <mergeCell ref="E10:F10"/>
    <mergeCell ref="C11:D11"/>
    <mergeCell ref="E11:F11"/>
    <mergeCell ref="C12:D12"/>
    <mergeCell ref="E12:F12"/>
    <mergeCell ref="B2:H2"/>
    <mergeCell ref="B3:H4"/>
    <mergeCell ref="B5:H5"/>
    <mergeCell ref="B6:H7"/>
    <mergeCell ref="C9:D9"/>
    <mergeCell ref="E9:F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9"/>
  <sheetViews>
    <sheetView showGridLines="0" topLeftCell="B1" zoomScale="70" zoomScaleNormal="70" workbookViewId="0">
      <selection activeCell="G37" sqref="G37"/>
    </sheetView>
  </sheetViews>
  <sheetFormatPr baseColWidth="10" defaultColWidth="11.42578125" defaultRowHeight="16.5" x14ac:dyDescent="0.3"/>
  <cols>
    <col min="1" max="1" width="3.85546875" style="47" bestFit="1" customWidth="1"/>
    <col min="2" max="2" width="9.42578125" style="47" customWidth="1"/>
    <col min="3" max="3" width="25.5703125" style="47" customWidth="1"/>
    <col min="4" max="4" width="46.5703125" style="47" customWidth="1"/>
    <col min="5" max="5" width="10.140625" style="70" customWidth="1"/>
    <col min="6" max="6" width="44.5703125" style="70" customWidth="1"/>
    <col min="7" max="7" width="15.42578125" style="47" customWidth="1"/>
    <col min="8" max="9" width="43" style="47" customWidth="1"/>
    <col min="10" max="12" width="11.42578125" style="75" customWidth="1"/>
    <col min="13" max="24" width="11.42578125" style="47" customWidth="1"/>
    <col min="25" max="16384" width="11.42578125" style="47"/>
  </cols>
  <sheetData>
    <row r="1" spans="1:32" x14ac:dyDescent="0.3">
      <c r="B1" s="46"/>
      <c r="C1" s="46"/>
      <c r="D1" s="46"/>
      <c r="E1" s="69"/>
      <c r="F1" s="69"/>
      <c r="G1" s="46"/>
      <c r="H1" s="46"/>
      <c r="I1" s="46"/>
      <c r="J1" s="71"/>
      <c r="K1" s="71"/>
      <c r="L1" s="72"/>
      <c r="M1" s="46"/>
      <c r="N1" s="46"/>
      <c r="O1" s="46"/>
      <c r="P1" s="46"/>
      <c r="Q1" s="46"/>
      <c r="R1" s="46"/>
      <c r="S1" s="46"/>
      <c r="T1" s="46"/>
      <c r="U1" s="46"/>
      <c r="V1" s="46"/>
      <c r="W1" s="46"/>
      <c r="X1" s="46"/>
    </row>
    <row r="2" spans="1:32" x14ac:dyDescent="0.3">
      <c r="B2" s="46"/>
      <c r="C2" s="46"/>
      <c r="D2" s="46"/>
      <c r="E2" s="69"/>
      <c r="F2" s="69"/>
      <c r="G2" s="46"/>
      <c r="H2" s="46"/>
      <c r="I2" s="46"/>
      <c r="J2" s="71"/>
      <c r="K2" s="71"/>
      <c r="L2" s="72"/>
      <c r="M2" s="46"/>
      <c r="N2" s="46"/>
      <c r="O2" s="46"/>
      <c r="P2" s="46"/>
      <c r="Q2" s="46"/>
      <c r="R2" s="46"/>
      <c r="S2" s="46"/>
      <c r="T2" s="46"/>
      <c r="U2" s="46"/>
      <c r="V2" s="46"/>
      <c r="W2" s="46"/>
      <c r="X2" s="46"/>
    </row>
    <row r="3" spans="1:32" x14ac:dyDescent="0.3">
      <c r="B3" s="46"/>
      <c r="C3" s="46"/>
      <c r="D3" s="46"/>
      <c r="E3" s="69"/>
      <c r="F3" s="69"/>
      <c r="G3" s="46"/>
      <c r="H3" s="46"/>
      <c r="I3" s="46"/>
      <c r="J3" s="71"/>
      <c r="K3" s="71"/>
      <c r="L3" s="72"/>
      <c r="M3" s="46"/>
      <c r="N3" s="46"/>
      <c r="O3" s="46"/>
      <c r="P3" s="46"/>
      <c r="Q3" s="46"/>
      <c r="R3" s="46"/>
      <c r="S3" s="46"/>
      <c r="T3" s="46"/>
      <c r="U3" s="46"/>
      <c r="V3" s="46"/>
      <c r="W3" s="46"/>
      <c r="X3" s="46"/>
    </row>
    <row r="4" spans="1:32" x14ac:dyDescent="0.3">
      <c r="B4" s="46"/>
      <c r="C4" s="46"/>
      <c r="D4" s="46"/>
      <c r="E4" s="69"/>
      <c r="F4" s="69"/>
      <c r="G4" s="46"/>
      <c r="H4" s="46"/>
      <c r="I4" s="46"/>
      <c r="J4" s="71"/>
      <c r="K4" s="71"/>
      <c r="L4" s="72"/>
      <c r="M4" s="46"/>
      <c r="N4" s="46"/>
      <c r="O4" s="46"/>
      <c r="P4" s="46"/>
      <c r="Q4" s="46"/>
      <c r="R4" s="46"/>
      <c r="S4" s="46"/>
      <c r="T4" s="46"/>
      <c r="U4" s="46"/>
      <c r="V4" s="46"/>
      <c r="W4" s="46"/>
      <c r="X4" s="46"/>
    </row>
    <row r="5" spans="1:32" x14ac:dyDescent="0.3">
      <c r="B5" s="46"/>
      <c r="C5" s="46"/>
      <c r="D5" s="46"/>
      <c r="E5" s="69"/>
      <c r="F5" s="69"/>
      <c r="G5" s="46"/>
      <c r="H5" s="46"/>
      <c r="I5" s="46"/>
      <c r="J5" s="71"/>
      <c r="K5" s="71"/>
      <c r="L5" s="72"/>
      <c r="M5" s="46"/>
      <c r="N5" s="46"/>
      <c r="O5" s="46"/>
      <c r="P5" s="46"/>
      <c r="Q5" s="46"/>
      <c r="R5" s="46"/>
      <c r="S5" s="46"/>
      <c r="T5" s="46"/>
      <c r="U5" s="46"/>
      <c r="V5" s="46"/>
      <c r="W5" s="46"/>
      <c r="X5" s="46"/>
    </row>
    <row r="6" spans="1:32" x14ac:dyDescent="0.3">
      <c r="B6" s="46"/>
      <c r="C6" s="46"/>
      <c r="D6" s="46"/>
      <c r="E6" s="69"/>
      <c r="F6" s="69"/>
      <c r="G6" s="46"/>
      <c r="H6" s="46"/>
      <c r="I6" s="46"/>
      <c r="J6" s="71"/>
      <c r="K6" s="71"/>
      <c r="L6" s="72"/>
      <c r="M6" s="46"/>
      <c r="N6" s="46"/>
      <c r="O6" s="46"/>
      <c r="P6" s="46"/>
      <c r="Q6" s="46"/>
      <c r="R6" s="46"/>
      <c r="S6" s="46"/>
      <c r="T6" s="46"/>
      <c r="U6" s="46"/>
      <c r="V6" s="46"/>
      <c r="W6" s="46"/>
      <c r="X6" s="46"/>
    </row>
    <row r="7" spans="1:32" x14ac:dyDescent="0.3">
      <c r="B7" s="46"/>
      <c r="C7" s="46"/>
      <c r="D7" s="46"/>
      <c r="E7" s="69"/>
      <c r="F7" s="69"/>
      <c r="G7" s="46"/>
      <c r="H7" s="46"/>
      <c r="I7" s="46"/>
      <c r="J7" s="71"/>
      <c r="K7" s="71"/>
      <c r="L7" s="72"/>
      <c r="M7" s="46"/>
      <c r="N7" s="46"/>
      <c r="O7" s="46"/>
      <c r="P7" s="46"/>
      <c r="Q7" s="46"/>
      <c r="R7" s="46"/>
      <c r="S7" s="46"/>
      <c r="T7" s="46"/>
      <c r="U7" s="46"/>
      <c r="V7" s="46"/>
      <c r="W7" s="46"/>
      <c r="X7" s="46"/>
    </row>
    <row r="8" spans="1:32" x14ac:dyDescent="0.3">
      <c r="B8" s="46"/>
      <c r="C8" s="46"/>
      <c r="D8" s="46"/>
      <c r="E8" s="69"/>
      <c r="F8" s="69"/>
      <c r="G8" s="46"/>
      <c r="H8" s="46"/>
      <c r="I8" s="46"/>
      <c r="J8" s="71"/>
      <c r="K8" s="71"/>
      <c r="L8" s="72"/>
      <c r="M8" s="46"/>
      <c r="N8" s="46"/>
      <c r="O8" s="46"/>
      <c r="P8" s="46"/>
      <c r="Q8" s="46"/>
      <c r="R8" s="46"/>
      <c r="S8" s="46"/>
      <c r="T8" s="46"/>
      <c r="U8" s="46"/>
      <c r="V8" s="46"/>
      <c r="W8" s="46"/>
      <c r="X8" s="46"/>
    </row>
    <row r="9" spans="1:32" x14ac:dyDescent="0.3">
      <c r="B9" s="46"/>
      <c r="C9" s="46"/>
      <c r="D9" s="46"/>
      <c r="E9" s="69"/>
      <c r="F9" s="69"/>
      <c r="G9" s="46"/>
      <c r="H9" s="46"/>
      <c r="I9" s="46"/>
      <c r="J9" s="71"/>
      <c r="K9" s="71"/>
      <c r="L9" s="72"/>
      <c r="M9" s="46"/>
      <c r="N9" s="46"/>
      <c r="O9" s="46"/>
      <c r="P9" s="46"/>
      <c r="Q9" s="46"/>
      <c r="R9" s="46"/>
      <c r="S9" s="46"/>
      <c r="T9" s="46"/>
      <c r="U9" s="46"/>
      <c r="V9" s="46"/>
      <c r="W9" s="46"/>
      <c r="X9" s="46"/>
    </row>
    <row r="10" spans="1:32" x14ac:dyDescent="0.3">
      <c r="B10" s="46"/>
      <c r="C10" s="46"/>
      <c r="D10" s="46"/>
      <c r="E10" s="69"/>
      <c r="F10" s="69"/>
      <c r="G10" s="46"/>
      <c r="H10" s="46"/>
      <c r="I10" s="46"/>
      <c r="J10" s="71"/>
      <c r="K10" s="71"/>
      <c r="L10" s="72"/>
      <c r="M10" s="46"/>
      <c r="N10" s="46"/>
      <c r="O10" s="46"/>
      <c r="P10" s="46"/>
      <c r="Q10" s="46"/>
      <c r="R10" s="46"/>
      <c r="S10" s="46"/>
      <c r="T10" s="46"/>
      <c r="U10" s="46"/>
      <c r="V10" s="46"/>
      <c r="W10" s="46"/>
      <c r="X10" s="46"/>
    </row>
    <row r="11" spans="1:32" x14ac:dyDescent="0.3">
      <c r="B11" s="46"/>
      <c r="C11" s="46"/>
      <c r="D11" s="46"/>
      <c r="E11" s="69"/>
      <c r="F11" s="69"/>
      <c r="G11" s="46"/>
      <c r="H11" s="46"/>
      <c r="I11" s="46"/>
      <c r="J11" s="71"/>
      <c r="K11" s="71"/>
      <c r="L11" s="72"/>
      <c r="M11" s="46"/>
      <c r="N11" s="46"/>
      <c r="O11" s="46"/>
      <c r="P11" s="46"/>
      <c r="Q11" s="46"/>
      <c r="R11" s="46"/>
      <c r="S11" s="46"/>
      <c r="T11" s="46"/>
      <c r="U11" s="46"/>
      <c r="V11" s="46"/>
      <c r="W11" s="46"/>
      <c r="X11" s="46"/>
    </row>
    <row r="12" spans="1:32" x14ac:dyDescent="0.3">
      <c r="B12" s="46"/>
      <c r="C12" s="46"/>
      <c r="D12" s="46"/>
      <c r="E12" s="69"/>
      <c r="F12" s="69"/>
      <c r="G12" s="46"/>
      <c r="H12" s="46"/>
      <c r="I12" s="46"/>
      <c r="J12" s="71"/>
      <c r="K12" s="71"/>
      <c r="L12" s="72"/>
      <c r="M12" s="46"/>
      <c r="N12" s="46"/>
      <c r="O12" s="46"/>
      <c r="P12" s="46"/>
      <c r="Q12" s="46"/>
      <c r="R12" s="46"/>
      <c r="S12" s="46"/>
      <c r="T12" s="46"/>
      <c r="U12" s="46"/>
      <c r="V12" s="46"/>
      <c r="W12" s="46"/>
      <c r="X12" s="46"/>
    </row>
    <row r="13" spans="1:32" x14ac:dyDescent="0.3">
      <c r="B13" s="46"/>
      <c r="C13" s="46"/>
      <c r="D13" s="46"/>
      <c r="E13" s="69"/>
      <c r="F13" s="69"/>
      <c r="G13" s="46"/>
      <c r="H13" s="46"/>
      <c r="I13" s="46"/>
      <c r="J13" s="71"/>
      <c r="K13" s="71"/>
      <c r="L13" s="72"/>
      <c r="M13" s="46"/>
      <c r="N13" s="46"/>
      <c r="O13" s="46"/>
      <c r="P13" s="46"/>
      <c r="Q13" s="46"/>
      <c r="R13" s="46"/>
      <c r="S13" s="46"/>
      <c r="T13" s="46"/>
      <c r="U13" s="46"/>
      <c r="V13" s="46"/>
      <c r="W13" s="46"/>
      <c r="X13" s="46"/>
    </row>
    <row r="14" spans="1:32" s="49" customFormat="1" ht="49.5" customHeight="1" x14ac:dyDescent="0.25">
      <c r="B14" s="239" t="s">
        <v>24</v>
      </c>
      <c r="C14" s="239"/>
      <c r="D14" s="239"/>
      <c r="E14" s="239"/>
      <c r="F14" s="239"/>
      <c r="G14" s="239"/>
      <c r="H14" s="239"/>
      <c r="I14" s="239"/>
      <c r="J14" s="73"/>
      <c r="K14" s="73"/>
      <c r="L14" s="74"/>
      <c r="M14" s="48"/>
      <c r="N14" s="48"/>
      <c r="O14" s="48"/>
      <c r="P14" s="48"/>
      <c r="Q14" s="48"/>
      <c r="R14" s="48"/>
      <c r="S14" s="48"/>
      <c r="T14" s="48"/>
      <c r="U14" s="48"/>
      <c r="V14" s="48"/>
      <c r="W14" s="48"/>
      <c r="X14" s="48"/>
      <c r="Y14" s="48"/>
      <c r="Z14" s="48"/>
      <c r="AA14" s="48"/>
      <c r="AB14" s="48"/>
      <c r="AC14" s="48"/>
      <c r="AD14" s="48"/>
      <c r="AE14" s="48"/>
      <c r="AF14" s="48"/>
    </row>
    <row r="15" spans="1:32" s="49" customFormat="1" ht="123.75" customHeight="1" thickBot="1" x14ac:dyDescent="0.3">
      <c r="B15" s="77" t="s">
        <v>25</v>
      </c>
      <c r="C15" s="77" t="s">
        <v>6</v>
      </c>
      <c r="D15" s="78" t="s">
        <v>8</v>
      </c>
      <c r="E15" s="79" t="s">
        <v>26</v>
      </c>
      <c r="F15" s="79" t="s">
        <v>27</v>
      </c>
      <c r="G15" s="79" t="s">
        <v>28</v>
      </c>
      <c r="H15" s="80" t="s">
        <v>29</v>
      </c>
      <c r="I15" s="79" t="s">
        <v>30</v>
      </c>
      <c r="J15" s="73"/>
      <c r="K15" s="73"/>
      <c r="L15" s="74"/>
      <c r="M15" s="48"/>
      <c r="N15" s="48"/>
      <c r="O15" s="48"/>
      <c r="P15" s="48"/>
      <c r="Q15" s="48"/>
      <c r="R15" s="48"/>
      <c r="S15" s="48"/>
      <c r="T15" s="48"/>
      <c r="U15" s="48"/>
      <c r="V15" s="48"/>
      <c r="W15" s="48"/>
      <c r="X15" s="48"/>
      <c r="Y15" s="48"/>
      <c r="Z15" s="48"/>
      <c r="AA15" s="48"/>
      <c r="AB15" s="48"/>
      <c r="AC15" s="48"/>
      <c r="AD15" s="48"/>
      <c r="AE15" s="48"/>
      <c r="AF15" s="48"/>
    </row>
    <row r="16" spans="1:32" s="49" customFormat="1" ht="71.25" customHeight="1" x14ac:dyDescent="0.25">
      <c r="A16" s="103" t="str">
        <f>1&amp;E16</f>
        <v>1a</v>
      </c>
      <c r="B16" s="250" t="s">
        <v>31</v>
      </c>
      <c r="C16" s="214" t="s">
        <v>32</v>
      </c>
      <c r="D16" s="247" t="s">
        <v>33</v>
      </c>
      <c r="E16" s="81" t="s">
        <v>34</v>
      </c>
      <c r="F16" s="82" t="s">
        <v>35</v>
      </c>
      <c r="G16" s="112" t="s">
        <v>39</v>
      </c>
      <c r="H16" s="113" t="s">
        <v>193</v>
      </c>
      <c r="I16" s="104" t="str">
        <f>+IF(G16="Si","Mantenimiento del control",IF(G16="En proceso","Oportunidad de mejora","Deficiencia de control"))</f>
        <v>Mantenimiento del control</v>
      </c>
      <c r="J16" s="105">
        <f t="shared" ref="J16:J27" si="0">+IF(G16="Si",20,IF(G16="En proceso",10,0))</f>
        <v>20</v>
      </c>
      <c r="K16" s="105">
        <v>0.123</v>
      </c>
      <c r="L16" s="105">
        <f>+J16+K16</f>
        <v>20.123000000000001</v>
      </c>
    </row>
    <row r="17" spans="1:32" s="49" customFormat="1" ht="63" x14ac:dyDescent="0.25">
      <c r="A17" s="103" t="str">
        <f t="shared" ref="A17:A27" si="1">1&amp;E17</f>
        <v>1b</v>
      </c>
      <c r="B17" s="251"/>
      <c r="C17" s="215"/>
      <c r="D17" s="248"/>
      <c r="E17" s="83" t="s">
        <v>37</v>
      </c>
      <c r="F17" s="84" t="s">
        <v>38</v>
      </c>
      <c r="G17" s="114" t="s">
        <v>39</v>
      </c>
      <c r="H17" s="115" t="s">
        <v>241</v>
      </c>
      <c r="I17" s="106" t="str">
        <f t="shared" ref="I17:I59" si="2">+IF(G17="Si","Mantenimiento del control",IF(G17="En proceso","Oportunidad de mejora","Deficiencia de control"))</f>
        <v>Mantenimiento del control</v>
      </c>
      <c r="J17" s="107">
        <f t="shared" si="0"/>
        <v>20</v>
      </c>
      <c r="K17" s="105">
        <v>0.1234</v>
      </c>
      <c r="L17" s="105">
        <f t="shared" ref="L17:L59" si="3">+J17+K17</f>
        <v>20.1234</v>
      </c>
    </row>
    <row r="18" spans="1:32" s="49" customFormat="1" ht="64.5" customHeight="1" x14ac:dyDescent="0.25">
      <c r="A18" s="103" t="str">
        <f t="shared" si="1"/>
        <v>1c</v>
      </c>
      <c r="B18" s="251"/>
      <c r="C18" s="215"/>
      <c r="D18" s="248"/>
      <c r="E18" s="83" t="s">
        <v>40</v>
      </c>
      <c r="F18" s="85" t="s">
        <v>41</v>
      </c>
      <c r="G18" s="116" t="s">
        <v>39</v>
      </c>
      <c r="H18" s="117" t="s">
        <v>190</v>
      </c>
      <c r="I18" s="108" t="str">
        <f t="shared" si="2"/>
        <v>Mantenimiento del control</v>
      </c>
      <c r="J18" s="107">
        <f t="shared" si="0"/>
        <v>20</v>
      </c>
      <c r="K18" s="105">
        <v>0.12345</v>
      </c>
      <c r="L18" s="105">
        <f t="shared" si="3"/>
        <v>20.123449999999998</v>
      </c>
    </row>
    <row r="19" spans="1:32" s="49" customFormat="1" ht="37.5" customHeight="1" x14ac:dyDescent="0.25">
      <c r="A19" s="103" t="str">
        <f t="shared" si="1"/>
        <v>1d</v>
      </c>
      <c r="B19" s="251"/>
      <c r="C19" s="215"/>
      <c r="D19" s="248"/>
      <c r="E19" s="83" t="s">
        <v>42</v>
      </c>
      <c r="F19" s="85" t="s">
        <v>43</v>
      </c>
      <c r="G19" s="116" t="s">
        <v>39</v>
      </c>
      <c r="H19" s="117" t="s">
        <v>192</v>
      </c>
      <c r="I19" s="108" t="str">
        <f t="shared" si="2"/>
        <v>Mantenimiento del control</v>
      </c>
      <c r="J19" s="107">
        <f t="shared" si="0"/>
        <v>20</v>
      </c>
      <c r="K19" s="105">
        <v>0.123456</v>
      </c>
      <c r="L19" s="105">
        <f t="shared" si="3"/>
        <v>20.123456000000001</v>
      </c>
    </row>
    <row r="20" spans="1:32" s="49" customFormat="1" ht="37.5" customHeight="1" x14ac:dyDescent="0.25">
      <c r="A20" s="103" t="str">
        <f t="shared" si="1"/>
        <v>1e</v>
      </c>
      <c r="B20" s="251"/>
      <c r="C20" s="215"/>
      <c r="D20" s="248"/>
      <c r="E20" s="83" t="s">
        <v>44</v>
      </c>
      <c r="F20" s="85" t="s">
        <v>45</v>
      </c>
      <c r="G20" s="116" t="s">
        <v>39</v>
      </c>
      <c r="H20" s="117" t="s">
        <v>191</v>
      </c>
      <c r="I20" s="108" t="str">
        <f t="shared" si="2"/>
        <v>Mantenimiento del control</v>
      </c>
      <c r="J20" s="107">
        <f t="shared" si="0"/>
        <v>20</v>
      </c>
      <c r="K20" s="105">
        <v>0.12345678</v>
      </c>
      <c r="L20" s="105">
        <f t="shared" si="3"/>
        <v>20.123456780000001</v>
      </c>
    </row>
    <row r="21" spans="1:32" s="49" customFormat="1" ht="63.75" customHeight="1" x14ac:dyDescent="0.25">
      <c r="A21" s="103" t="str">
        <f t="shared" si="1"/>
        <v>1f</v>
      </c>
      <c r="B21" s="251"/>
      <c r="C21" s="215"/>
      <c r="D21" s="248"/>
      <c r="E21" s="83" t="s">
        <v>46</v>
      </c>
      <c r="F21" s="85" t="s">
        <v>47</v>
      </c>
      <c r="G21" s="116" t="s">
        <v>39</v>
      </c>
      <c r="H21" s="117" t="s">
        <v>194</v>
      </c>
      <c r="I21" s="108" t="str">
        <f t="shared" si="2"/>
        <v>Mantenimiento del control</v>
      </c>
      <c r="J21" s="107">
        <f t="shared" si="0"/>
        <v>20</v>
      </c>
      <c r="K21" s="105">
        <v>0.123456789</v>
      </c>
      <c r="L21" s="105">
        <f t="shared" si="3"/>
        <v>20.123456788999999</v>
      </c>
    </row>
    <row r="22" spans="1:32" s="49" customFormat="1" ht="65.25" customHeight="1" x14ac:dyDescent="0.25">
      <c r="A22" s="103" t="str">
        <f t="shared" si="1"/>
        <v>1g</v>
      </c>
      <c r="B22" s="251"/>
      <c r="C22" s="215"/>
      <c r="D22" s="248"/>
      <c r="E22" s="83" t="s">
        <v>48</v>
      </c>
      <c r="F22" s="85" t="s">
        <v>49</v>
      </c>
      <c r="G22" s="116" t="s">
        <v>39</v>
      </c>
      <c r="H22" s="117" t="s">
        <v>195</v>
      </c>
      <c r="I22" s="108" t="str">
        <f t="shared" si="2"/>
        <v>Mantenimiento del control</v>
      </c>
      <c r="J22" s="107">
        <f t="shared" si="0"/>
        <v>20</v>
      </c>
      <c r="K22" s="105">
        <v>0.12345678910000001</v>
      </c>
      <c r="L22" s="105">
        <f t="shared" si="3"/>
        <v>20.1234567891</v>
      </c>
    </row>
    <row r="23" spans="1:32" s="49" customFormat="1" ht="62.25" customHeight="1" x14ac:dyDescent="0.25">
      <c r="A23" s="103" t="str">
        <f t="shared" si="1"/>
        <v>1h</v>
      </c>
      <c r="B23" s="251"/>
      <c r="C23" s="215"/>
      <c r="D23" s="248"/>
      <c r="E23" s="83" t="s">
        <v>50</v>
      </c>
      <c r="F23" s="85" t="s">
        <v>51</v>
      </c>
      <c r="G23" s="116" t="s">
        <v>39</v>
      </c>
      <c r="H23" s="117" t="s">
        <v>196</v>
      </c>
      <c r="I23" s="108" t="str">
        <f t="shared" si="2"/>
        <v>Mantenimiento del control</v>
      </c>
      <c r="J23" s="107">
        <f t="shared" si="0"/>
        <v>20</v>
      </c>
      <c r="K23" s="105">
        <v>0.12345678911999999</v>
      </c>
      <c r="L23" s="105">
        <f t="shared" si="3"/>
        <v>20.123456789119999</v>
      </c>
    </row>
    <row r="24" spans="1:32" s="49" customFormat="1" ht="57.75" customHeight="1" x14ac:dyDescent="0.25">
      <c r="A24" s="103" t="str">
        <f t="shared" si="1"/>
        <v>1i</v>
      </c>
      <c r="B24" s="251"/>
      <c r="C24" s="215"/>
      <c r="D24" s="248"/>
      <c r="E24" s="333" t="s">
        <v>52</v>
      </c>
      <c r="F24" s="334" t="s">
        <v>53</v>
      </c>
      <c r="G24" s="335" t="s">
        <v>36</v>
      </c>
      <c r="H24" s="336"/>
      <c r="I24" s="337" t="str">
        <f t="shared" si="2"/>
        <v>Deficiencia de control</v>
      </c>
      <c r="J24" s="107">
        <f t="shared" si="0"/>
        <v>0</v>
      </c>
      <c r="K24" s="105">
        <v>0.123456789123</v>
      </c>
      <c r="L24" s="105">
        <f t="shared" si="3"/>
        <v>0.123456789123</v>
      </c>
    </row>
    <row r="25" spans="1:32" s="49" customFormat="1" ht="52.5" customHeight="1" x14ac:dyDescent="0.25">
      <c r="A25" s="103" t="str">
        <f t="shared" si="1"/>
        <v>1j</v>
      </c>
      <c r="B25" s="251"/>
      <c r="C25" s="215"/>
      <c r="D25" s="248"/>
      <c r="E25" s="83" t="s">
        <v>54</v>
      </c>
      <c r="F25" s="85" t="s">
        <v>55</v>
      </c>
      <c r="G25" s="116" t="s">
        <v>39</v>
      </c>
      <c r="H25" s="117" t="s">
        <v>198</v>
      </c>
      <c r="I25" s="108" t="str">
        <f t="shared" si="2"/>
        <v>Mantenimiento del control</v>
      </c>
      <c r="J25" s="107">
        <f t="shared" si="0"/>
        <v>20</v>
      </c>
      <c r="K25" s="105">
        <v>0.1234567891234</v>
      </c>
      <c r="L25" s="105">
        <f t="shared" si="3"/>
        <v>20.123456789123399</v>
      </c>
    </row>
    <row r="26" spans="1:32" s="49" customFormat="1" ht="42" customHeight="1" x14ac:dyDescent="0.25">
      <c r="A26" s="103" t="str">
        <f t="shared" si="1"/>
        <v>1k</v>
      </c>
      <c r="B26" s="251"/>
      <c r="C26" s="215"/>
      <c r="D26" s="248"/>
      <c r="E26" s="83" t="s">
        <v>56</v>
      </c>
      <c r="F26" s="85" t="s">
        <v>57</v>
      </c>
      <c r="G26" s="116" t="s">
        <v>39</v>
      </c>
      <c r="H26" s="117" t="s">
        <v>197</v>
      </c>
      <c r="I26" s="108" t="str">
        <f t="shared" si="2"/>
        <v>Mantenimiento del control</v>
      </c>
      <c r="J26" s="107">
        <f t="shared" si="0"/>
        <v>20</v>
      </c>
      <c r="K26" s="105">
        <v>0.12345678912345</v>
      </c>
      <c r="L26" s="105">
        <f t="shared" si="3"/>
        <v>20.123456789123448</v>
      </c>
    </row>
    <row r="27" spans="1:32" s="49" customFormat="1" ht="33.75" thickBot="1" x14ac:dyDescent="0.3">
      <c r="A27" s="103" t="str">
        <f t="shared" si="1"/>
        <v>1l</v>
      </c>
      <c r="B27" s="252"/>
      <c r="C27" s="216"/>
      <c r="D27" s="249"/>
      <c r="E27" s="86" t="s">
        <v>58</v>
      </c>
      <c r="F27" s="87" t="s">
        <v>59</v>
      </c>
      <c r="G27" s="118" t="s">
        <v>39</v>
      </c>
      <c r="H27" s="119" t="s">
        <v>199</v>
      </c>
      <c r="I27" s="109" t="str">
        <f t="shared" si="2"/>
        <v>Mantenimiento del control</v>
      </c>
      <c r="J27" s="107">
        <f t="shared" si="0"/>
        <v>20</v>
      </c>
      <c r="K27" s="105">
        <v>0.12345678912345601</v>
      </c>
      <c r="L27" s="105">
        <f t="shared" si="3"/>
        <v>20.123456789123455</v>
      </c>
    </row>
    <row r="28" spans="1:32" s="49" customFormat="1" ht="44.25" customHeight="1" x14ac:dyDescent="0.25">
      <c r="A28" s="103" t="str">
        <f>2&amp;E28</f>
        <v>2a</v>
      </c>
      <c r="B28" s="253" t="s">
        <v>60</v>
      </c>
      <c r="C28" s="217" t="s">
        <v>61</v>
      </c>
      <c r="D28" s="256" t="s">
        <v>62</v>
      </c>
      <c r="E28" s="81" t="s">
        <v>34</v>
      </c>
      <c r="F28" s="82" t="s">
        <v>63</v>
      </c>
      <c r="G28" s="112" t="s">
        <v>39</v>
      </c>
      <c r="H28" s="113" t="s">
        <v>200</v>
      </c>
      <c r="I28" s="104" t="str">
        <f t="shared" si="2"/>
        <v>Mantenimiento del control</v>
      </c>
      <c r="J28" s="105">
        <f>+IF(G28="Si",40,IF(G28="En proceso",30,20))</f>
        <v>40</v>
      </c>
      <c r="K28" s="105">
        <v>0.23</v>
      </c>
      <c r="L28" s="105">
        <f t="shared" si="3"/>
        <v>40.229999999999997</v>
      </c>
    </row>
    <row r="29" spans="1:32" s="49" customFormat="1" ht="63" x14ac:dyDescent="0.25">
      <c r="A29" s="103" t="str">
        <f t="shared" ref="A29:A31" si="4">2&amp;E29</f>
        <v>2b</v>
      </c>
      <c r="B29" s="254"/>
      <c r="C29" s="218"/>
      <c r="D29" s="232"/>
      <c r="E29" s="83" t="s">
        <v>37</v>
      </c>
      <c r="F29" s="85" t="s">
        <v>64</v>
      </c>
      <c r="G29" s="116" t="s">
        <v>39</v>
      </c>
      <c r="H29" s="117" t="s">
        <v>201</v>
      </c>
      <c r="I29" s="108" t="str">
        <f t="shared" si="2"/>
        <v>Mantenimiento del control</v>
      </c>
      <c r="J29" s="105">
        <f>+IF(G29="Si",40,IF(G29="En proceso",30,20))</f>
        <v>40</v>
      </c>
      <c r="K29" s="105">
        <v>0.23400000000000001</v>
      </c>
      <c r="L29" s="105">
        <f t="shared" si="3"/>
        <v>40.234000000000002</v>
      </c>
    </row>
    <row r="30" spans="1:32" s="49" customFormat="1" ht="49.5" x14ac:dyDescent="0.25">
      <c r="A30" s="103" t="str">
        <f t="shared" si="4"/>
        <v>2c</v>
      </c>
      <c r="B30" s="254"/>
      <c r="C30" s="218"/>
      <c r="D30" s="232"/>
      <c r="E30" s="83" t="s">
        <v>40</v>
      </c>
      <c r="F30" s="85" t="s">
        <v>65</v>
      </c>
      <c r="G30" s="116" t="s">
        <v>39</v>
      </c>
      <c r="H30" s="117" t="s">
        <v>202</v>
      </c>
      <c r="I30" s="108" t="str">
        <f t="shared" si="2"/>
        <v>Mantenimiento del control</v>
      </c>
      <c r="J30" s="105">
        <f>+IF(G30="Si",40,IF(G30="En proceso",30,20))</f>
        <v>40</v>
      </c>
      <c r="K30" s="105">
        <v>0.23449999999999999</v>
      </c>
      <c r="L30" s="105">
        <f t="shared" si="3"/>
        <v>40.234499999999997</v>
      </c>
    </row>
    <row r="31" spans="1:32" s="49" customFormat="1" ht="83.25" thickBot="1" x14ac:dyDescent="0.3">
      <c r="A31" s="103" t="str">
        <f t="shared" si="4"/>
        <v>2d</v>
      </c>
      <c r="B31" s="255"/>
      <c r="C31" s="219"/>
      <c r="D31" s="257"/>
      <c r="E31" s="86" t="s">
        <v>42</v>
      </c>
      <c r="F31" s="87" t="s">
        <v>66</v>
      </c>
      <c r="G31" s="118" t="s">
        <v>39</v>
      </c>
      <c r="H31" s="119" t="s">
        <v>203</v>
      </c>
      <c r="I31" s="109" t="str">
        <f t="shared" si="2"/>
        <v>Mantenimiento del control</v>
      </c>
      <c r="J31" s="105">
        <f>+IF(G31="Si",40,IF(G31="En proceso",30,20))</f>
        <v>40</v>
      </c>
      <c r="K31" s="105">
        <v>0.23455999999999999</v>
      </c>
      <c r="L31" s="105">
        <f t="shared" si="3"/>
        <v>40.234560000000002</v>
      </c>
    </row>
    <row r="32" spans="1:32" s="49" customFormat="1" ht="49.5" customHeight="1" x14ac:dyDescent="0.25">
      <c r="A32" s="103" t="str">
        <f>3&amp;E32</f>
        <v>3a</v>
      </c>
      <c r="B32" s="229" t="s">
        <v>67</v>
      </c>
      <c r="C32" s="229" t="s">
        <v>61</v>
      </c>
      <c r="D32" s="230" t="s">
        <v>68</v>
      </c>
      <c r="E32" s="88" t="s">
        <v>34</v>
      </c>
      <c r="F32" s="85" t="s">
        <v>69</v>
      </c>
      <c r="G32" s="116" t="s">
        <v>39</v>
      </c>
      <c r="H32" s="117" t="s">
        <v>204</v>
      </c>
      <c r="I32" s="108" t="str">
        <f t="shared" si="2"/>
        <v>Mantenimiento del control</v>
      </c>
      <c r="J32" s="105">
        <f t="shared" ref="J32:J37" si="5">+IF(G32="Si",40,IF(G32="En proceso",30,20))</f>
        <v>40</v>
      </c>
      <c r="K32" s="110">
        <v>0.234567</v>
      </c>
      <c r="L32" s="105">
        <f t="shared" ref="L32:L37" si="6">+J32+K32</f>
        <v>40.234566999999998</v>
      </c>
      <c r="M32" s="48"/>
      <c r="N32" s="48"/>
      <c r="O32" s="48"/>
      <c r="P32" s="48"/>
      <c r="Q32" s="48"/>
      <c r="R32" s="48"/>
      <c r="S32" s="48"/>
      <c r="T32" s="48"/>
      <c r="U32" s="48"/>
      <c r="V32" s="48"/>
      <c r="W32" s="48"/>
      <c r="X32" s="48"/>
      <c r="Y32" s="48"/>
      <c r="Z32" s="48"/>
      <c r="AA32" s="48"/>
      <c r="AB32" s="48"/>
      <c r="AC32" s="48"/>
      <c r="AD32" s="48"/>
      <c r="AE32" s="48"/>
      <c r="AF32" s="48"/>
    </row>
    <row r="33" spans="1:32" s="49" customFormat="1" ht="49.5" customHeight="1" x14ac:dyDescent="0.25">
      <c r="A33" s="103" t="str">
        <f t="shared" ref="A33:A34" si="7">3&amp;E33</f>
        <v>3b</v>
      </c>
      <c r="B33" s="229"/>
      <c r="C33" s="229"/>
      <c r="D33" s="230"/>
      <c r="E33" s="88" t="s">
        <v>37</v>
      </c>
      <c r="F33" s="85" t="s">
        <v>70</v>
      </c>
      <c r="G33" s="116" t="s">
        <v>39</v>
      </c>
      <c r="H33" s="117" t="s">
        <v>205</v>
      </c>
      <c r="I33" s="108" t="str">
        <f t="shared" si="2"/>
        <v>Mantenimiento del control</v>
      </c>
      <c r="J33" s="105">
        <f t="shared" si="5"/>
        <v>40</v>
      </c>
      <c r="K33" s="110">
        <v>0.23456779999999999</v>
      </c>
      <c r="L33" s="105">
        <f t="shared" si="6"/>
        <v>40.234567800000001</v>
      </c>
      <c r="M33" s="48"/>
      <c r="N33" s="48"/>
      <c r="O33" s="48"/>
      <c r="P33" s="48"/>
      <c r="Q33" s="48"/>
      <c r="R33" s="48"/>
      <c r="S33" s="48"/>
      <c r="T33" s="48"/>
      <c r="U33" s="48"/>
      <c r="V33" s="48"/>
      <c r="W33" s="48"/>
      <c r="X33" s="48"/>
      <c r="Y33" s="48"/>
      <c r="Z33" s="48"/>
      <c r="AA33" s="48"/>
      <c r="AB33" s="48"/>
      <c r="AC33" s="48"/>
      <c r="AD33" s="48"/>
      <c r="AE33" s="48"/>
      <c r="AF33" s="48"/>
    </row>
    <row r="34" spans="1:32" s="49" customFormat="1" ht="66" customHeight="1" thickBot="1" x14ac:dyDescent="0.3">
      <c r="A34" s="103" t="str">
        <f t="shared" si="7"/>
        <v>3c</v>
      </c>
      <c r="B34" s="229"/>
      <c r="C34" s="229"/>
      <c r="D34" s="230"/>
      <c r="E34" s="88" t="s">
        <v>40</v>
      </c>
      <c r="F34" s="85" t="s">
        <v>71</v>
      </c>
      <c r="G34" s="116" t="s">
        <v>39</v>
      </c>
      <c r="H34" s="117" t="s">
        <v>206</v>
      </c>
      <c r="I34" s="108" t="str">
        <f t="shared" si="2"/>
        <v>Mantenimiento del control</v>
      </c>
      <c r="J34" s="105">
        <f t="shared" si="5"/>
        <v>40</v>
      </c>
      <c r="K34" s="110">
        <v>0.23456789</v>
      </c>
      <c r="L34" s="105">
        <f t="shared" si="6"/>
        <v>40.234567890000001</v>
      </c>
      <c r="M34" s="48"/>
      <c r="N34" s="48"/>
      <c r="O34" s="48"/>
      <c r="P34" s="48"/>
      <c r="Q34" s="48"/>
      <c r="R34" s="48"/>
      <c r="S34" s="48"/>
      <c r="T34" s="48"/>
      <c r="U34" s="48"/>
      <c r="V34" s="48"/>
      <c r="W34" s="48"/>
      <c r="X34" s="48"/>
      <c r="Y34" s="48"/>
      <c r="Z34" s="48"/>
      <c r="AA34" s="48"/>
      <c r="AB34" s="48"/>
      <c r="AC34" s="48"/>
      <c r="AD34" s="48"/>
      <c r="AE34" s="48"/>
      <c r="AF34" s="48"/>
    </row>
    <row r="35" spans="1:32" s="49" customFormat="1" ht="60.75" customHeight="1" x14ac:dyDescent="0.25">
      <c r="A35" s="103" t="str">
        <f>4&amp;E35</f>
        <v>4a</v>
      </c>
      <c r="B35" s="231" t="s">
        <v>72</v>
      </c>
      <c r="C35" s="218" t="s">
        <v>61</v>
      </c>
      <c r="D35" s="232" t="s">
        <v>73</v>
      </c>
      <c r="E35" s="81" t="s">
        <v>34</v>
      </c>
      <c r="F35" s="82" t="s">
        <v>74</v>
      </c>
      <c r="G35" s="112" t="s">
        <v>39</v>
      </c>
      <c r="H35" s="113" t="s">
        <v>207</v>
      </c>
      <c r="I35" s="104" t="str">
        <f t="shared" si="2"/>
        <v>Mantenimiento del control</v>
      </c>
      <c r="J35" s="105">
        <f t="shared" si="5"/>
        <v>40</v>
      </c>
      <c r="K35" s="110">
        <v>0.23456789119999999</v>
      </c>
      <c r="L35" s="105">
        <f t="shared" si="6"/>
        <v>40.234567891200001</v>
      </c>
      <c r="M35" s="48"/>
      <c r="N35" s="48"/>
      <c r="O35" s="48"/>
      <c r="P35" s="48"/>
      <c r="Q35" s="48"/>
    </row>
    <row r="36" spans="1:32" s="49" customFormat="1" ht="57.75" customHeight="1" x14ac:dyDescent="0.25">
      <c r="A36" s="103" t="str">
        <f t="shared" ref="A36:A37" si="8">4&amp;E36</f>
        <v>4b</v>
      </c>
      <c r="B36" s="231"/>
      <c r="C36" s="218"/>
      <c r="D36" s="232"/>
      <c r="E36" s="83" t="s">
        <v>37</v>
      </c>
      <c r="F36" s="85" t="s">
        <v>75</v>
      </c>
      <c r="G36" s="116" t="s">
        <v>39</v>
      </c>
      <c r="H36" s="117" t="s">
        <v>208</v>
      </c>
      <c r="I36" s="108" t="str">
        <f t="shared" si="2"/>
        <v>Mantenimiento del control</v>
      </c>
      <c r="J36" s="105">
        <f t="shared" si="5"/>
        <v>40</v>
      </c>
      <c r="K36" s="110">
        <v>0.23456789122999999</v>
      </c>
      <c r="L36" s="105">
        <f t="shared" si="6"/>
        <v>40.23456789123</v>
      </c>
      <c r="M36" s="48"/>
      <c r="N36" s="48"/>
      <c r="O36" s="48"/>
      <c r="P36" s="48"/>
      <c r="Q36" s="48"/>
    </row>
    <row r="37" spans="1:32" s="49" customFormat="1" ht="49.5" customHeight="1" thickBot="1" x14ac:dyDescent="0.3">
      <c r="A37" s="103" t="str">
        <f t="shared" si="8"/>
        <v>4c</v>
      </c>
      <c r="B37" s="231"/>
      <c r="C37" s="218"/>
      <c r="D37" s="232"/>
      <c r="E37" s="83" t="s">
        <v>40</v>
      </c>
      <c r="F37" s="85" t="s">
        <v>76</v>
      </c>
      <c r="G37" s="116" t="s">
        <v>39</v>
      </c>
      <c r="H37" s="117" t="s">
        <v>209</v>
      </c>
      <c r="I37" s="108" t="str">
        <f t="shared" si="2"/>
        <v>Mantenimiento del control</v>
      </c>
      <c r="J37" s="105">
        <f t="shared" si="5"/>
        <v>40</v>
      </c>
      <c r="K37" s="110">
        <v>0.23456789123399999</v>
      </c>
      <c r="L37" s="105">
        <f t="shared" si="6"/>
        <v>40.234567891234001</v>
      </c>
      <c r="M37" s="48"/>
      <c r="N37" s="48"/>
      <c r="O37" s="48"/>
      <c r="P37" s="48"/>
      <c r="Q37" s="48"/>
    </row>
    <row r="38" spans="1:32" s="49" customFormat="1" ht="85.5" customHeight="1" x14ac:dyDescent="0.25">
      <c r="A38" s="103" t="str">
        <f>5&amp;E38</f>
        <v>5a</v>
      </c>
      <c r="B38" s="233" t="s">
        <v>77</v>
      </c>
      <c r="C38" s="220" t="s">
        <v>78</v>
      </c>
      <c r="D38" s="236" t="s">
        <v>79</v>
      </c>
      <c r="E38" s="81" t="s">
        <v>34</v>
      </c>
      <c r="F38" s="89" t="s">
        <v>80</v>
      </c>
      <c r="G38" s="120" t="s">
        <v>39</v>
      </c>
      <c r="H38" s="121" t="s">
        <v>210</v>
      </c>
      <c r="I38" s="111" t="str">
        <f t="shared" si="2"/>
        <v>Mantenimiento del control</v>
      </c>
      <c r="J38" s="105">
        <f>+IF(G38="Si",60,IF(G38="En proceso",50,40))</f>
        <v>60</v>
      </c>
      <c r="K38" s="105">
        <v>0.31</v>
      </c>
      <c r="L38" s="105">
        <f t="shared" si="3"/>
        <v>60.31</v>
      </c>
    </row>
    <row r="39" spans="1:32" s="49" customFormat="1" ht="66" x14ac:dyDescent="0.25">
      <c r="A39" s="103" t="str">
        <f t="shared" ref="A39:A42" si="9">5&amp;E39</f>
        <v>5b</v>
      </c>
      <c r="B39" s="234"/>
      <c r="C39" s="221"/>
      <c r="D39" s="237"/>
      <c r="E39" s="83" t="s">
        <v>37</v>
      </c>
      <c r="F39" s="85" t="s">
        <v>81</v>
      </c>
      <c r="G39" s="116" t="s">
        <v>39</v>
      </c>
      <c r="H39" s="117" t="s">
        <v>211</v>
      </c>
      <c r="I39" s="108" t="str">
        <f t="shared" si="2"/>
        <v>Mantenimiento del control</v>
      </c>
      <c r="J39" s="105">
        <f>+IF(G39="Si",60,IF(G39="En proceso",50,40))</f>
        <v>60</v>
      </c>
      <c r="K39" s="105">
        <v>0.32300000000000001</v>
      </c>
      <c r="L39" s="105">
        <f t="shared" si="3"/>
        <v>60.323</v>
      </c>
    </row>
    <row r="40" spans="1:32" s="49" customFormat="1" ht="49.5" x14ac:dyDescent="0.25">
      <c r="A40" s="103" t="str">
        <f t="shared" si="9"/>
        <v>5c</v>
      </c>
      <c r="B40" s="234"/>
      <c r="C40" s="221"/>
      <c r="D40" s="237"/>
      <c r="E40" s="83" t="s">
        <v>40</v>
      </c>
      <c r="F40" s="85" t="s">
        <v>82</v>
      </c>
      <c r="G40" s="116" t="s">
        <v>39</v>
      </c>
      <c r="H40" s="117" t="s">
        <v>212</v>
      </c>
      <c r="I40" s="108" t="str">
        <f t="shared" si="2"/>
        <v>Mantenimiento del control</v>
      </c>
      <c r="J40" s="105">
        <f>+IF(G40="Si",60,IF(G40="En proceso",50,40))</f>
        <v>60</v>
      </c>
      <c r="K40" s="105">
        <v>0.32400000000000001</v>
      </c>
      <c r="L40" s="105">
        <f t="shared" si="3"/>
        <v>60.323999999999998</v>
      </c>
    </row>
    <row r="41" spans="1:32" s="49" customFormat="1" ht="94.5" x14ac:dyDescent="0.25">
      <c r="A41" s="103" t="str">
        <f t="shared" si="9"/>
        <v>5d</v>
      </c>
      <c r="B41" s="234"/>
      <c r="C41" s="221"/>
      <c r="D41" s="237"/>
      <c r="E41" s="83" t="s">
        <v>42</v>
      </c>
      <c r="F41" s="85" t="s">
        <v>83</v>
      </c>
      <c r="G41" s="116" t="s">
        <v>39</v>
      </c>
      <c r="H41" s="117" t="s">
        <v>213</v>
      </c>
      <c r="I41" s="108" t="str">
        <f t="shared" si="2"/>
        <v>Mantenimiento del control</v>
      </c>
      <c r="J41" s="105">
        <f>+IF(G41="Si",60,IF(G41="En proceso",50,40))</f>
        <v>60</v>
      </c>
      <c r="K41" s="105">
        <v>0.32500000000000001</v>
      </c>
      <c r="L41" s="105">
        <f t="shared" si="3"/>
        <v>60.325000000000003</v>
      </c>
    </row>
    <row r="42" spans="1:32" s="49" customFormat="1" ht="48" thickBot="1" x14ac:dyDescent="0.3">
      <c r="A42" s="103" t="str">
        <f t="shared" si="9"/>
        <v>5e</v>
      </c>
      <c r="B42" s="235"/>
      <c r="C42" s="222"/>
      <c r="D42" s="238"/>
      <c r="E42" s="86" t="s">
        <v>44</v>
      </c>
      <c r="F42" s="87" t="s">
        <v>84</v>
      </c>
      <c r="G42" s="118" t="s">
        <v>39</v>
      </c>
      <c r="H42" s="117" t="s">
        <v>214</v>
      </c>
      <c r="I42" s="109" t="str">
        <f t="shared" si="2"/>
        <v>Mantenimiento del control</v>
      </c>
      <c r="J42" s="105">
        <f>+IF(G42="Si",60,IF(G42="En proceso",50,40))</f>
        <v>60</v>
      </c>
      <c r="K42" s="105">
        <v>0.32600000000000001</v>
      </c>
      <c r="L42" s="105">
        <f t="shared" si="3"/>
        <v>60.326000000000001</v>
      </c>
    </row>
    <row r="43" spans="1:32" s="49" customFormat="1" ht="46.5" customHeight="1" x14ac:dyDescent="0.25">
      <c r="A43" s="103" t="str">
        <f>6&amp;E43</f>
        <v>6a</v>
      </c>
      <c r="B43" s="243" t="s">
        <v>85</v>
      </c>
      <c r="C43" s="223" t="s">
        <v>86</v>
      </c>
      <c r="D43" s="240" t="s">
        <v>87</v>
      </c>
      <c r="E43" s="81" t="s">
        <v>34</v>
      </c>
      <c r="F43" s="82" t="s">
        <v>88</v>
      </c>
      <c r="G43" s="112" t="s">
        <v>39</v>
      </c>
      <c r="H43" s="113" t="s">
        <v>215</v>
      </c>
      <c r="I43" s="104" t="str">
        <f t="shared" si="2"/>
        <v>Mantenimiento del control</v>
      </c>
      <c r="J43" s="105">
        <f t="shared" ref="J43:J49" si="10">+IF(G43="Si",80,IF(G43="En proceso",70,60))</f>
        <v>80</v>
      </c>
      <c r="K43" s="105">
        <v>0.41199999999999998</v>
      </c>
      <c r="L43" s="105">
        <f t="shared" si="3"/>
        <v>80.412000000000006</v>
      </c>
    </row>
    <row r="44" spans="1:32" s="49" customFormat="1" ht="49.5" x14ac:dyDescent="0.25">
      <c r="A44" s="103" t="str">
        <f t="shared" ref="A44:A49" si="11">6&amp;E44</f>
        <v>6b</v>
      </c>
      <c r="B44" s="244"/>
      <c r="C44" s="224"/>
      <c r="D44" s="241"/>
      <c r="E44" s="83" t="s">
        <v>37</v>
      </c>
      <c r="F44" s="85" t="s">
        <v>89</v>
      </c>
      <c r="G44" s="116" t="s">
        <v>39</v>
      </c>
      <c r="H44" s="117" t="s">
        <v>216</v>
      </c>
      <c r="I44" s="108" t="str">
        <f t="shared" si="2"/>
        <v>Mantenimiento del control</v>
      </c>
      <c r="J44" s="105">
        <f t="shared" si="10"/>
        <v>80</v>
      </c>
      <c r="K44" s="105">
        <v>0.4123</v>
      </c>
      <c r="L44" s="105">
        <f t="shared" si="3"/>
        <v>80.412300000000002</v>
      </c>
    </row>
    <row r="45" spans="1:32" s="49" customFormat="1" ht="115.5" x14ac:dyDescent="0.25">
      <c r="A45" s="103" t="str">
        <f t="shared" si="11"/>
        <v>6c</v>
      </c>
      <c r="B45" s="244"/>
      <c r="C45" s="224"/>
      <c r="D45" s="241"/>
      <c r="E45" s="83" t="s">
        <v>40</v>
      </c>
      <c r="F45" s="85" t="s">
        <v>90</v>
      </c>
      <c r="G45" s="116" t="s">
        <v>39</v>
      </c>
      <c r="H45" s="117" t="s">
        <v>217</v>
      </c>
      <c r="I45" s="108" t="str">
        <f t="shared" si="2"/>
        <v>Mantenimiento del control</v>
      </c>
      <c r="J45" s="105">
        <f t="shared" si="10"/>
        <v>80</v>
      </c>
      <c r="K45" s="105">
        <v>0.41233999999999998</v>
      </c>
      <c r="L45" s="105">
        <f t="shared" si="3"/>
        <v>80.41234</v>
      </c>
    </row>
    <row r="46" spans="1:32" s="49" customFormat="1" ht="33" x14ac:dyDescent="0.25">
      <c r="A46" s="103" t="str">
        <f t="shared" si="11"/>
        <v>6d</v>
      </c>
      <c r="B46" s="244"/>
      <c r="C46" s="224"/>
      <c r="D46" s="241"/>
      <c r="E46" s="83" t="s">
        <v>42</v>
      </c>
      <c r="F46" s="85" t="s">
        <v>91</v>
      </c>
      <c r="G46" s="116" t="s">
        <v>39</v>
      </c>
      <c r="H46" s="117" t="s">
        <v>218</v>
      </c>
      <c r="I46" s="108" t="str">
        <f t="shared" si="2"/>
        <v>Mantenimiento del control</v>
      </c>
      <c r="J46" s="105">
        <f t="shared" si="10"/>
        <v>80</v>
      </c>
      <c r="K46" s="105">
        <v>0.41234500000000002</v>
      </c>
      <c r="L46" s="105">
        <f t="shared" si="3"/>
        <v>80.412345000000002</v>
      </c>
    </row>
    <row r="47" spans="1:32" s="49" customFormat="1" ht="63" x14ac:dyDescent="0.25">
      <c r="A47" s="103" t="str">
        <f t="shared" si="11"/>
        <v>6e</v>
      </c>
      <c r="B47" s="244"/>
      <c r="C47" s="224"/>
      <c r="D47" s="241"/>
      <c r="E47" s="83" t="s">
        <v>44</v>
      </c>
      <c r="F47" s="85" t="s">
        <v>92</v>
      </c>
      <c r="G47" s="116" t="s">
        <v>39</v>
      </c>
      <c r="H47" s="117" t="s">
        <v>219</v>
      </c>
      <c r="I47" s="108" t="str">
        <f t="shared" si="2"/>
        <v>Mantenimiento del control</v>
      </c>
      <c r="J47" s="105">
        <f t="shared" si="10"/>
        <v>80</v>
      </c>
      <c r="K47" s="105">
        <v>0.41234559999999998</v>
      </c>
      <c r="L47" s="105">
        <f t="shared" si="3"/>
        <v>80.412345599999995</v>
      </c>
    </row>
    <row r="48" spans="1:32" s="49" customFormat="1" ht="63" x14ac:dyDescent="0.25">
      <c r="A48" s="103" t="str">
        <f t="shared" si="11"/>
        <v>6f</v>
      </c>
      <c r="B48" s="244"/>
      <c r="C48" s="224"/>
      <c r="D48" s="241"/>
      <c r="E48" s="83" t="s">
        <v>46</v>
      </c>
      <c r="F48" s="85" t="s">
        <v>93</v>
      </c>
      <c r="G48" s="116" t="s">
        <v>39</v>
      </c>
      <c r="H48" s="117" t="s">
        <v>220</v>
      </c>
      <c r="I48" s="108" t="str">
        <f t="shared" si="2"/>
        <v>Mantenimiento del control</v>
      </c>
      <c r="J48" s="105">
        <f t="shared" si="10"/>
        <v>80</v>
      </c>
      <c r="K48" s="105">
        <v>0.41234567</v>
      </c>
      <c r="L48" s="105">
        <f t="shared" si="3"/>
        <v>80.412345669999993</v>
      </c>
    </row>
    <row r="49" spans="1:17" s="49" customFormat="1" ht="50.25" thickBot="1" x14ac:dyDescent="0.3">
      <c r="A49" s="103" t="str">
        <f t="shared" si="11"/>
        <v>6g</v>
      </c>
      <c r="B49" s="245"/>
      <c r="C49" s="225"/>
      <c r="D49" s="242"/>
      <c r="E49" s="86" t="s">
        <v>48</v>
      </c>
      <c r="F49" s="87" t="s">
        <v>94</v>
      </c>
      <c r="G49" s="118" t="s">
        <v>39</v>
      </c>
      <c r="H49" s="119" t="s">
        <v>221</v>
      </c>
      <c r="I49" s="109" t="str">
        <f t="shared" si="2"/>
        <v>Mantenimiento del control</v>
      </c>
      <c r="J49" s="105">
        <f t="shared" si="10"/>
        <v>80</v>
      </c>
      <c r="K49" s="105">
        <v>0.41234567799999999</v>
      </c>
      <c r="L49" s="105">
        <f t="shared" si="3"/>
        <v>80.412345677999994</v>
      </c>
    </row>
    <row r="50" spans="1:17" s="49" customFormat="1" ht="54.75" customHeight="1" x14ac:dyDescent="0.25">
      <c r="A50" s="103" t="str">
        <f>7&amp;E50</f>
        <v>7a</v>
      </c>
      <c r="B50" s="211" t="s">
        <v>95</v>
      </c>
      <c r="C50" s="226" t="s">
        <v>96</v>
      </c>
      <c r="D50" s="208" t="s">
        <v>97</v>
      </c>
      <c r="E50" s="81" t="s">
        <v>34</v>
      </c>
      <c r="F50" s="82" t="s">
        <v>98</v>
      </c>
      <c r="G50" s="112" t="s">
        <v>39</v>
      </c>
      <c r="H50" s="113" t="s">
        <v>222</v>
      </c>
      <c r="I50" s="104" t="str">
        <f t="shared" si="2"/>
        <v>Mantenimiento del control</v>
      </c>
      <c r="J50" s="105">
        <f>+IF(G50="Si",120,IF(G50="En proceso",100,80))</f>
        <v>120</v>
      </c>
      <c r="K50" s="105">
        <v>0.85099999999999998</v>
      </c>
      <c r="L50" s="105">
        <f t="shared" si="3"/>
        <v>120.851</v>
      </c>
    </row>
    <row r="51" spans="1:17" s="49" customFormat="1" ht="99" x14ac:dyDescent="0.25">
      <c r="A51" s="103" t="str">
        <f t="shared" ref="A51:A53" si="12">7&amp;E51</f>
        <v>7d</v>
      </c>
      <c r="B51" s="212"/>
      <c r="C51" s="227"/>
      <c r="D51" s="209"/>
      <c r="E51" s="83" t="s">
        <v>42</v>
      </c>
      <c r="F51" s="85" t="s">
        <v>99</v>
      </c>
      <c r="G51" s="116" t="s">
        <v>39</v>
      </c>
      <c r="H51" s="117" t="s">
        <v>223</v>
      </c>
      <c r="I51" s="108" t="str">
        <f t="shared" si="2"/>
        <v>Mantenimiento del control</v>
      </c>
      <c r="J51" s="105">
        <f t="shared" ref="J51:J59" si="13">+IF(G51="Si",120,IF(G51="En proceso",100,80))</f>
        <v>120</v>
      </c>
      <c r="K51" s="105">
        <v>0.85119999999999996</v>
      </c>
      <c r="L51" s="105">
        <f t="shared" si="3"/>
        <v>120.85120000000001</v>
      </c>
    </row>
    <row r="52" spans="1:17" s="49" customFormat="1" ht="66" x14ac:dyDescent="0.25">
      <c r="A52" s="103" t="str">
        <f t="shared" si="12"/>
        <v>7f</v>
      </c>
      <c r="B52" s="212"/>
      <c r="C52" s="227"/>
      <c r="D52" s="209"/>
      <c r="E52" s="83" t="s">
        <v>46</v>
      </c>
      <c r="F52" s="85" t="s">
        <v>100</v>
      </c>
      <c r="G52" s="116" t="s">
        <v>39</v>
      </c>
      <c r="H52" s="117" t="s">
        <v>224</v>
      </c>
      <c r="I52" s="108" t="str">
        <f t="shared" si="2"/>
        <v>Mantenimiento del control</v>
      </c>
      <c r="J52" s="105">
        <f t="shared" si="13"/>
        <v>120</v>
      </c>
      <c r="K52" s="105">
        <v>0.85123000000000004</v>
      </c>
      <c r="L52" s="105">
        <f t="shared" si="3"/>
        <v>120.85123</v>
      </c>
    </row>
    <row r="53" spans="1:17" s="49" customFormat="1" ht="48" thickBot="1" x14ac:dyDescent="0.3">
      <c r="A53" s="103" t="str">
        <f t="shared" si="12"/>
        <v>7g</v>
      </c>
      <c r="B53" s="213"/>
      <c r="C53" s="228"/>
      <c r="D53" s="246"/>
      <c r="E53" s="86" t="s">
        <v>48</v>
      </c>
      <c r="F53" s="87" t="s">
        <v>101</v>
      </c>
      <c r="G53" s="118" t="s">
        <v>39</v>
      </c>
      <c r="H53" s="119" t="s">
        <v>225</v>
      </c>
      <c r="I53" s="109" t="str">
        <f t="shared" si="2"/>
        <v>Mantenimiento del control</v>
      </c>
      <c r="J53" s="105">
        <f t="shared" si="13"/>
        <v>120</v>
      </c>
      <c r="K53" s="105">
        <v>0.85123400000000005</v>
      </c>
      <c r="L53" s="105">
        <f t="shared" si="3"/>
        <v>120.85123400000001</v>
      </c>
    </row>
    <row r="54" spans="1:17" s="49" customFormat="1" ht="102.75" customHeight="1" thickBot="1" x14ac:dyDescent="0.3">
      <c r="A54" s="103" t="str">
        <f>8&amp;E54</f>
        <v>8h</v>
      </c>
      <c r="B54" s="157" t="s">
        <v>102</v>
      </c>
      <c r="C54" s="158" t="s">
        <v>96</v>
      </c>
      <c r="D54" s="76" t="s">
        <v>103</v>
      </c>
      <c r="E54" s="329" t="s">
        <v>50</v>
      </c>
      <c r="F54" s="330" t="s">
        <v>104</v>
      </c>
      <c r="G54" s="331" t="s">
        <v>36</v>
      </c>
      <c r="H54" s="328" t="s">
        <v>226</v>
      </c>
      <c r="I54" s="332" t="str">
        <f t="shared" si="2"/>
        <v>Deficiencia de control</v>
      </c>
      <c r="J54" s="105">
        <f t="shared" si="13"/>
        <v>80</v>
      </c>
      <c r="K54" s="105">
        <v>0.85123450000000001</v>
      </c>
      <c r="L54" s="105">
        <f t="shared" si="3"/>
        <v>80.851234500000004</v>
      </c>
    </row>
    <row r="55" spans="1:17" s="49" customFormat="1" ht="54.75" customHeight="1" x14ac:dyDescent="0.25">
      <c r="A55" s="103" t="str">
        <f>9&amp;E55</f>
        <v>9a</v>
      </c>
      <c r="B55" s="211" t="s">
        <v>105</v>
      </c>
      <c r="C55" s="226" t="s">
        <v>96</v>
      </c>
      <c r="D55" s="208" t="s">
        <v>106</v>
      </c>
      <c r="E55" s="81" t="s">
        <v>34</v>
      </c>
      <c r="F55" s="82" t="s">
        <v>107</v>
      </c>
      <c r="G55" s="112" t="s">
        <v>39</v>
      </c>
      <c r="H55" s="113" t="s">
        <v>227</v>
      </c>
      <c r="I55" s="104" t="str">
        <f t="shared" si="2"/>
        <v>Mantenimiento del control</v>
      </c>
      <c r="J55" s="105">
        <f t="shared" si="13"/>
        <v>120</v>
      </c>
      <c r="K55" s="110">
        <v>0.85123455999999997</v>
      </c>
      <c r="L55" s="105">
        <f t="shared" si="3"/>
        <v>120.85123455999999</v>
      </c>
      <c r="M55" s="48"/>
      <c r="N55" s="48"/>
      <c r="O55" s="48"/>
      <c r="P55" s="48"/>
      <c r="Q55" s="48"/>
    </row>
    <row r="56" spans="1:17" s="49" customFormat="1" ht="55.5" customHeight="1" x14ac:dyDescent="0.25">
      <c r="A56" s="103" t="str">
        <f t="shared" ref="A56:A59" si="14">9&amp;E56</f>
        <v>9b</v>
      </c>
      <c r="B56" s="212"/>
      <c r="C56" s="227"/>
      <c r="D56" s="209"/>
      <c r="E56" s="83" t="s">
        <v>37</v>
      </c>
      <c r="F56" s="85" t="s">
        <v>108</v>
      </c>
      <c r="G56" s="116" t="s">
        <v>39</v>
      </c>
      <c r="H56" s="117" t="s">
        <v>228</v>
      </c>
      <c r="I56" s="108" t="str">
        <f t="shared" si="2"/>
        <v>Mantenimiento del control</v>
      </c>
      <c r="J56" s="105">
        <f t="shared" si="13"/>
        <v>120</v>
      </c>
      <c r="K56" s="110">
        <v>0.851234567</v>
      </c>
      <c r="L56" s="105">
        <f t="shared" si="3"/>
        <v>120.85123456700001</v>
      </c>
      <c r="M56" s="48"/>
      <c r="N56" s="48"/>
      <c r="O56" s="48"/>
      <c r="P56" s="48"/>
      <c r="Q56" s="48"/>
    </row>
    <row r="57" spans="1:17" s="49" customFormat="1" ht="77.25" customHeight="1" x14ac:dyDescent="0.25">
      <c r="A57" s="103" t="str">
        <f t="shared" si="14"/>
        <v>9c</v>
      </c>
      <c r="B57" s="212"/>
      <c r="C57" s="227"/>
      <c r="D57" s="209"/>
      <c r="E57" s="83" t="s">
        <v>40</v>
      </c>
      <c r="F57" s="85" t="s">
        <v>109</v>
      </c>
      <c r="G57" s="116" t="s">
        <v>39</v>
      </c>
      <c r="H57" s="117" t="s">
        <v>229</v>
      </c>
      <c r="I57" s="108" t="str">
        <f t="shared" si="2"/>
        <v>Mantenimiento del control</v>
      </c>
      <c r="J57" s="105">
        <f t="shared" si="13"/>
        <v>120</v>
      </c>
      <c r="K57" s="110">
        <v>0.85123456779999995</v>
      </c>
      <c r="L57" s="105">
        <f t="shared" si="3"/>
        <v>120.85123456780001</v>
      </c>
      <c r="M57" s="48"/>
      <c r="N57" s="48"/>
      <c r="O57" s="48"/>
      <c r="P57" s="48"/>
      <c r="Q57" s="48"/>
    </row>
    <row r="58" spans="1:17" s="49" customFormat="1" ht="77.25" customHeight="1" x14ac:dyDescent="0.25">
      <c r="A58" s="103" t="str">
        <f t="shared" si="14"/>
        <v>9d</v>
      </c>
      <c r="B58" s="212"/>
      <c r="C58" s="227"/>
      <c r="D58" s="209"/>
      <c r="E58" s="83" t="s">
        <v>42</v>
      </c>
      <c r="F58" s="85" t="s">
        <v>110</v>
      </c>
      <c r="G58" s="116" t="s">
        <v>39</v>
      </c>
      <c r="H58" s="117" t="s">
        <v>230</v>
      </c>
      <c r="I58" s="108" t="str">
        <f t="shared" si="2"/>
        <v>Mantenimiento del control</v>
      </c>
      <c r="J58" s="105">
        <f t="shared" si="13"/>
        <v>120</v>
      </c>
      <c r="K58" s="110">
        <v>0.85123456788999996</v>
      </c>
      <c r="L58" s="105">
        <f t="shared" si="3"/>
        <v>120.85123456789</v>
      </c>
      <c r="M58" s="48"/>
      <c r="N58" s="48"/>
      <c r="O58" s="48"/>
      <c r="P58" s="48"/>
      <c r="Q58" s="48"/>
    </row>
    <row r="59" spans="1:17" s="49" customFormat="1" ht="77.25" customHeight="1" thickBot="1" x14ac:dyDescent="0.3">
      <c r="A59" s="103" t="str">
        <f t="shared" si="14"/>
        <v>9e</v>
      </c>
      <c r="B59" s="213"/>
      <c r="C59" s="227"/>
      <c r="D59" s="210"/>
      <c r="E59" s="86" t="s">
        <v>44</v>
      </c>
      <c r="F59" s="87" t="s">
        <v>111</v>
      </c>
      <c r="G59" s="118" t="s">
        <v>39</v>
      </c>
      <c r="H59" s="119" t="s">
        <v>231</v>
      </c>
      <c r="I59" s="109" t="str">
        <f t="shared" si="2"/>
        <v>Mantenimiento del control</v>
      </c>
      <c r="J59" s="105">
        <f t="shared" si="13"/>
        <v>120</v>
      </c>
      <c r="K59" s="110">
        <v>0.85123456789100005</v>
      </c>
      <c r="L59" s="105">
        <f t="shared" si="3"/>
        <v>120.851234567891</v>
      </c>
      <c r="M59" s="48"/>
      <c r="N59" s="48"/>
      <c r="O59" s="48"/>
      <c r="P59" s="48"/>
      <c r="Q59" s="48"/>
    </row>
  </sheetData>
  <sheetProtection algorithmName="SHA-512" hashValue="3f8q67IhQ+195mCCu45JxrnKZ5NQYpYn/4DMJ1qNlLoW+1h5DdlwjNz0RDsqicEeH5OxPhf5j92R5BAeBl6Iaw==" saltValue="5vY6GrPfNxnRatmVvJafnA==" spinCount="100000" sheet="1" objects="1" scenarios="1" formatCells="0" formatColumns="0" formatRows="0"/>
  <mergeCells count="25">
    <mergeCell ref="B14:I14"/>
    <mergeCell ref="D43:D49"/>
    <mergeCell ref="B43:B49"/>
    <mergeCell ref="D50:D53"/>
    <mergeCell ref="B50:B53"/>
    <mergeCell ref="D16:D27"/>
    <mergeCell ref="B16:B27"/>
    <mergeCell ref="B28:B31"/>
    <mergeCell ref="D28:D31"/>
    <mergeCell ref="D55:D59"/>
    <mergeCell ref="B55:B59"/>
    <mergeCell ref="C16:C27"/>
    <mergeCell ref="C28:C31"/>
    <mergeCell ref="C38:C42"/>
    <mergeCell ref="C43:C49"/>
    <mergeCell ref="C50:C53"/>
    <mergeCell ref="C32:C34"/>
    <mergeCell ref="C35:C37"/>
    <mergeCell ref="C55:C59"/>
    <mergeCell ref="D32:D34"/>
    <mergeCell ref="B32:B34"/>
    <mergeCell ref="B35:B37"/>
    <mergeCell ref="D35:D37"/>
    <mergeCell ref="B38:B42"/>
    <mergeCell ref="D38:D42"/>
  </mergeCells>
  <dataValidations count="2">
    <dataValidation type="list" allowBlank="1" showInputMessage="1" showErrorMessage="1" sqref="G55:G59 G16:G53">
      <formula1>"Si, No, En proceso"</formula1>
    </dataValidation>
    <dataValidation type="list" allowBlank="1" showInputMessage="1" showErrorMessage="1" sqref="G54">
      <formula1>"Si, No"</formula1>
    </dataValidation>
  </dataValidation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4"/>
  <sheetViews>
    <sheetView zoomScaleNormal="100" workbookViewId="0">
      <selection activeCell="E53" sqref="E53"/>
    </sheetView>
  </sheetViews>
  <sheetFormatPr baseColWidth="10" defaultColWidth="11.42578125" defaultRowHeight="15" x14ac:dyDescent="0.25"/>
  <cols>
    <col min="3" max="3" width="22.85546875" customWidth="1"/>
    <col min="4" max="4" width="22.5703125" customWidth="1"/>
    <col min="5" max="5" width="53.42578125" customWidth="1"/>
    <col min="7" max="7" width="28.28515625" customWidth="1"/>
    <col min="8" max="8" width="4.85546875" customWidth="1"/>
    <col min="9" max="9" width="15.28515625" customWidth="1"/>
    <col min="10" max="10" width="22.42578125" customWidth="1"/>
    <col min="11" max="29" width="11.42578125" style="1"/>
  </cols>
  <sheetData>
    <row r="1" spans="1:11" x14ac:dyDescent="0.25">
      <c r="A1" s="1"/>
      <c r="B1" s="1"/>
      <c r="C1" s="1"/>
      <c r="D1" s="1"/>
      <c r="E1" s="1"/>
      <c r="F1" s="1"/>
      <c r="G1" s="1"/>
      <c r="H1" s="1"/>
      <c r="I1" s="1"/>
      <c r="J1" s="1"/>
    </row>
    <row r="2" spans="1:11" s="1" customFormat="1" x14ac:dyDescent="0.25"/>
    <row r="3" spans="1:11" s="1" customFormat="1" x14ac:dyDescent="0.25"/>
    <row r="4" spans="1:11" x14ac:dyDescent="0.25">
      <c r="A4" s="1"/>
      <c r="B4" s="1"/>
      <c r="C4" s="1"/>
      <c r="D4" s="1"/>
      <c r="E4" s="1"/>
      <c r="F4" s="1"/>
      <c r="G4" s="1"/>
      <c r="H4" s="1"/>
      <c r="I4" s="1"/>
      <c r="J4" s="1"/>
    </row>
    <row r="5" spans="1:11" x14ac:dyDescent="0.25">
      <c r="A5" s="1"/>
      <c r="B5" s="1"/>
      <c r="C5" s="1"/>
      <c r="D5" s="1"/>
      <c r="E5" s="1"/>
      <c r="F5" s="1"/>
      <c r="G5" s="1"/>
      <c r="H5" s="1"/>
      <c r="I5" s="1"/>
      <c r="J5" s="1"/>
    </row>
    <row r="6" spans="1:11" ht="15.75" thickBot="1" x14ac:dyDescent="0.3">
      <c r="A6" s="1"/>
      <c r="B6" s="1"/>
      <c r="C6" s="1"/>
      <c r="D6" s="1"/>
      <c r="E6" s="1"/>
      <c r="F6" s="1"/>
      <c r="G6" s="1"/>
      <c r="H6" s="1"/>
      <c r="I6" s="1"/>
      <c r="J6" s="1"/>
    </row>
    <row r="7" spans="1:11" ht="26.25" thickBot="1" x14ac:dyDescent="0.3">
      <c r="A7" s="1"/>
      <c r="B7" s="1"/>
      <c r="C7" s="289" t="s">
        <v>112</v>
      </c>
      <c r="D7" s="290"/>
      <c r="E7" s="290"/>
      <c r="F7" s="290"/>
      <c r="G7" s="290"/>
      <c r="H7" s="290"/>
      <c r="I7" s="290"/>
      <c r="J7" s="290"/>
      <c r="K7" s="291"/>
    </row>
    <row r="8" spans="1:11" s="1" customFormat="1" ht="15.75" thickBot="1" x14ac:dyDescent="0.3">
      <c r="C8" s="39"/>
      <c r="D8" s="39"/>
      <c r="E8" s="40"/>
      <c r="F8" s="40"/>
      <c r="G8" s="40"/>
      <c r="H8" s="40"/>
      <c r="I8" s="50"/>
      <c r="J8" s="40"/>
      <c r="K8" s="40"/>
    </row>
    <row r="9" spans="1:11" ht="21" thickBot="1" x14ac:dyDescent="0.3">
      <c r="A9" s="1"/>
      <c r="B9" s="1"/>
      <c r="C9" s="191" t="s">
        <v>15</v>
      </c>
      <c r="D9" s="192"/>
      <c r="E9" s="192" t="s">
        <v>16</v>
      </c>
      <c r="F9" s="203"/>
      <c r="G9" s="40"/>
      <c r="H9" s="40"/>
      <c r="I9" s="50"/>
      <c r="J9" s="40"/>
      <c r="K9" s="40"/>
    </row>
    <row r="10" spans="1:11" ht="54" customHeight="1" x14ac:dyDescent="0.25">
      <c r="A10" s="1"/>
      <c r="B10" s="1"/>
      <c r="C10" s="204" t="s">
        <v>17</v>
      </c>
      <c r="D10" s="205"/>
      <c r="E10" s="206" t="s">
        <v>18</v>
      </c>
      <c r="F10" s="207"/>
      <c r="G10" s="41"/>
      <c r="H10" s="42">
        <v>1</v>
      </c>
      <c r="I10" s="50"/>
      <c r="J10" s="40"/>
      <c r="K10" s="40"/>
    </row>
    <row r="11" spans="1:11" ht="46.5" customHeight="1" x14ac:dyDescent="0.25">
      <c r="A11" s="1"/>
      <c r="B11" s="1"/>
      <c r="C11" s="193" t="s">
        <v>19</v>
      </c>
      <c r="D11" s="194"/>
      <c r="E11" s="195" t="s">
        <v>113</v>
      </c>
      <c r="F11" s="196"/>
      <c r="G11" s="43" t="s">
        <v>114</v>
      </c>
      <c r="H11" s="42">
        <v>0.75</v>
      </c>
      <c r="I11" s="50"/>
      <c r="J11" s="40"/>
      <c r="K11" s="40"/>
    </row>
    <row r="12" spans="1:11" ht="70.5" customHeight="1" thickBot="1" x14ac:dyDescent="0.3">
      <c r="A12" s="1"/>
      <c r="B12" s="1"/>
      <c r="C12" s="197" t="s">
        <v>21</v>
      </c>
      <c r="D12" s="198"/>
      <c r="E12" s="199" t="s">
        <v>115</v>
      </c>
      <c r="F12" s="200"/>
      <c r="G12" s="44"/>
      <c r="H12" s="42">
        <v>0.25</v>
      </c>
      <c r="I12" s="50"/>
      <c r="J12" s="40"/>
      <c r="K12" s="40"/>
    </row>
    <row r="13" spans="1:11" s="1" customFormat="1" x14ac:dyDescent="0.25"/>
    <row r="14" spans="1:11" s="1" customFormat="1" x14ac:dyDescent="0.25"/>
    <row r="15" spans="1:11" s="1" customFormat="1" x14ac:dyDescent="0.25"/>
    <row r="16" spans="1:11" s="1" customFormat="1" ht="15.75" thickBot="1" x14ac:dyDescent="0.3"/>
    <row r="17" spans="1:10" x14ac:dyDescent="0.25">
      <c r="A17" s="1"/>
      <c r="B17" s="1"/>
      <c r="C17" s="281" t="s">
        <v>116</v>
      </c>
      <c r="D17" s="283" t="s">
        <v>117</v>
      </c>
      <c r="E17" s="284"/>
      <c r="F17" s="285" t="s">
        <v>118</v>
      </c>
      <c r="G17" s="287" t="s">
        <v>119</v>
      </c>
      <c r="H17" s="38"/>
      <c r="I17" s="276" t="s">
        <v>120</v>
      </c>
      <c r="J17" s="276" t="s">
        <v>121</v>
      </c>
    </row>
    <row r="18" spans="1:10" ht="36" customHeight="1" thickBot="1" x14ac:dyDescent="0.3">
      <c r="A18" s="1"/>
      <c r="B18" s="1"/>
      <c r="C18" s="282"/>
      <c r="D18" s="122" t="s">
        <v>122</v>
      </c>
      <c r="E18" s="123" t="s">
        <v>27</v>
      </c>
      <c r="F18" s="286"/>
      <c r="G18" s="288"/>
      <c r="H18" s="38"/>
      <c r="I18" s="277"/>
      <c r="J18" s="277"/>
    </row>
    <row r="19" spans="1:10" ht="65.25" customHeight="1" x14ac:dyDescent="0.25">
      <c r="A19" s="1"/>
      <c r="B19" s="1"/>
      <c r="C19" s="136">
        <v>1</v>
      </c>
      <c r="D19" s="278" t="s">
        <v>32</v>
      </c>
      <c r="E19" s="338" t="str">
        <f>+IFERROR(INDEX(Hoja1!$E$2:$E$45,MATCH('Análisis Resultados'!C19,Hoja1!$H$2:$H$45,0)),"")</f>
        <v>Evaluación a los servidores públicos de acuerdo con el marco normativo que le rige</v>
      </c>
      <c r="F19" s="124" t="str">
        <f>+IFERROR(VLOOKUP(C19,Hoja1!$H$2:$I$45,2,0),"")</f>
        <v>No</v>
      </c>
      <c r="G19" s="125" t="str">
        <f>+IF(F19="Si","Existe requerimiento pero se requiere actividades  dirigidas a su mantenimiento dentro del marco de las lineas de defensa.",IF(F19="En proceso","Se encuentra en proceso, pero requiere continuar con acciones dirigidas a contar con dicho aspecto de control.","No se encuentra el aspecto  por lo tanto la entidad debera generar acciones dirigidas a que se cumpla con el requerimiento."))</f>
        <v>No se encuentra el aspecto  por lo tanto la entidad debera generar acciones dirigidas a que se cumpla con el requerimiento.</v>
      </c>
      <c r="H19" s="18"/>
      <c r="I19" s="137">
        <f>+IF(F19="Si",1,IF(F19="En proceso",0.5,0))</f>
        <v>0</v>
      </c>
      <c r="J19" s="260">
        <f>+AVERAGE(I19:I30)</f>
        <v>0.91666666666666663</v>
      </c>
    </row>
    <row r="20" spans="1:10" ht="45" x14ac:dyDescent="0.25">
      <c r="A20" s="1"/>
      <c r="B20" s="1"/>
      <c r="C20" s="136">
        <v>2</v>
      </c>
      <c r="D20" s="279"/>
      <c r="E20" s="339" t="str">
        <f>+IFERROR(INDEX(Hoja1!$E$2:$E$45,MATCH('Análisis Resultados'!C20,Hoja1!$H$2:$H$45,0)),"")</f>
        <v>Documento interno o adopción del MECI actualizado</v>
      </c>
      <c r="F20" s="126" t="str">
        <f>+IFERROR(VLOOKUP(C20,Hoja1!$H$2:$I$45,2,0),"")</f>
        <v>Si</v>
      </c>
      <c r="G20" s="127" t="str">
        <f t="shared" ref="G20:G62" si="0">+IF(F20="Si","Existe requerimiento pero se requiere actividades  dirigidas a su mantenimiento dentro del marco de las lineas de defensa.",IF(F20="En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H20" s="18"/>
      <c r="I20" s="138">
        <f t="shared" ref="I20:I62" si="1">+IF(F20="Si",1,IF(F20="En proceso",0.5,0))</f>
        <v>1</v>
      </c>
      <c r="J20" s="261"/>
    </row>
    <row r="21" spans="1:10" ht="45" x14ac:dyDescent="0.25">
      <c r="A21" s="1"/>
      <c r="B21" s="1"/>
      <c r="C21" s="136">
        <v>3</v>
      </c>
      <c r="D21" s="279"/>
      <c r="E21" s="339" t="str">
        <f>+IFERROR(INDEX(Hoja1!$E$2:$E$45,MATCH('Análisis Resultados'!C21,Hoja1!$H$2:$H$45,0)),"")</f>
        <v>Un documento tal como un código de ética, integridad u otro que formalice los estándares de conducta, los principios institucionales o los valores del servicio público</v>
      </c>
      <c r="F21" s="126" t="str">
        <f>+IFERROR(VLOOKUP(C21,Hoja1!$H$2:$I$45,2,0),"")</f>
        <v>Si</v>
      </c>
      <c r="G21" s="127" t="str">
        <f t="shared" si="0"/>
        <v>Existe requerimiento pero se requiere actividades  dirigidas a su mantenimiento dentro del marco de las lineas de defensa.</v>
      </c>
      <c r="H21" s="18"/>
      <c r="I21" s="138">
        <f t="shared" si="1"/>
        <v>1</v>
      </c>
      <c r="J21" s="261"/>
    </row>
    <row r="22" spans="1:10" ht="56.25" customHeight="1" x14ac:dyDescent="0.25">
      <c r="A22" s="1"/>
      <c r="B22" s="1"/>
      <c r="C22" s="136">
        <v>4</v>
      </c>
      <c r="D22" s="279"/>
      <c r="E22" s="339" t="str">
        <f>+IFERROR(INDEX(Hoja1!$E$2:$E$45,MATCH('Análisis Resultados'!C22,Hoja1!$H$2:$H$45,0)),"")</f>
        <v>Planes, programas y proyectos de acuerdo con las normas que rigen y atendiendo con su propósito fundamental institucional (misión)</v>
      </c>
      <c r="F22" s="126" t="str">
        <f>+IFERROR(VLOOKUP(C22,Hoja1!$H$2:$I$45,2,0),"")</f>
        <v>Si</v>
      </c>
      <c r="G22" s="127" t="str">
        <f t="shared" si="0"/>
        <v>Existe requerimiento pero se requiere actividades  dirigidas a su mantenimiento dentro del marco de las lineas de defensa.</v>
      </c>
      <c r="H22" s="18"/>
      <c r="I22" s="138">
        <f t="shared" si="1"/>
        <v>1</v>
      </c>
      <c r="J22" s="261"/>
    </row>
    <row r="23" spans="1:10" ht="45" x14ac:dyDescent="0.25">
      <c r="A23" s="1"/>
      <c r="B23" s="1"/>
      <c r="C23" s="136">
        <v>5</v>
      </c>
      <c r="D23" s="279"/>
      <c r="E23" s="339" t="str">
        <f>+IFERROR(INDEX(Hoja1!$E$2:$E$45,MATCH('Análisis Resultados'!C23,Hoja1!$H$2:$H$45,0)),"")</f>
        <v>Una estructura organizacional formalizada (organigrama)</v>
      </c>
      <c r="F23" s="126" t="str">
        <f>+IFERROR(VLOOKUP(C23,Hoja1!$H$2:$I$45,2,0),"")</f>
        <v>Si</v>
      </c>
      <c r="G23" s="127" t="str">
        <f t="shared" si="0"/>
        <v>Existe requerimiento pero se requiere actividades  dirigidas a su mantenimiento dentro del marco de las lineas de defensa.</v>
      </c>
      <c r="H23" s="18"/>
      <c r="I23" s="138">
        <f t="shared" si="1"/>
        <v>1</v>
      </c>
      <c r="J23" s="261"/>
    </row>
    <row r="24" spans="1:10" ht="45" x14ac:dyDescent="0.25">
      <c r="A24" s="1"/>
      <c r="B24" s="1"/>
      <c r="C24" s="136">
        <v>6</v>
      </c>
      <c r="D24" s="279"/>
      <c r="E24" s="339" t="str">
        <f>+IFERROR(INDEX(Hoja1!$E$2:$E$45,MATCH('Análisis Resultados'!C24,Hoja1!$H$2:$H$45,0)),"")</f>
        <v>Un manual de funciones que describa los empleos de la entidad</v>
      </c>
      <c r="F24" s="126" t="str">
        <f>+IFERROR(VLOOKUP(C24,Hoja1!$H$2:$I$45,2,0),"")</f>
        <v>Si</v>
      </c>
      <c r="G24" s="127" t="str">
        <f t="shared" si="0"/>
        <v>Existe requerimiento pero se requiere actividades  dirigidas a su mantenimiento dentro del marco de las lineas de defensa.</v>
      </c>
      <c r="H24" s="18"/>
      <c r="I24" s="138">
        <f t="shared" si="1"/>
        <v>1</v>
      </c>
      <c r="J24" s="261"/>
    </row>
    <row r="25" spans="1:10" ht="45" x14ac:dyDescent="0.25">
      <c r="A25" s="1"/>
      <c r="B25" s="1"/>
      <c r="C25" s="136">
        <v>7</v>
      </c>
      <c r="D25" s="279"/>
      <c r="E25" s="339" t="str">
        <f>+IFERROR(INDEX(Hoja1!$E$2:$E$45,MATCH('Análisis Resultados'!C25,Hoja1!$H$2:$H$45,0)),"")</f>
        <v>La documentación de sus procesos y procedimientos o bien una lista de actividades principales que permitan conocer el estado de su gestión</v>
      </c>
      <c r="F25" s="126" t="str">
        <f>+IFERROR(VLOOKUP(C25,Hoja1!$H$2:$I$45,2,0),"")</f>
        <v>Si</v>
      </c>
      <c r="G25" s="127" t="str">
        <f t="shared" si="0"/>
        <v>Existe requerimiento pero se requiere actividades  dirigidas a su mantenimiento dentro del marco de las lineas de defensa.</v>
      </c>
      <c r="H25" s="18"/>
      <c r="I25" s="138">
        <f t="shared" si="1"/>
        <v>1</v>
      </c>
      <c r="J25" s="261"/>
    </row>
    <row r="26" spans="1:10" ht="45" x14ac:dyDescent="0.25">
      <c r="A26" s="1"/>
      <c r="B26" s="1"/>
      <c r="C26" s="136">
        <v>8</v>
      </c>
      <c r="D26" s="279"/>
      <c r="E26" s="339" t="str">
        <f>+IFERROR(INDEX(Hoja1!$E$2:$E$45,MATCH('Análisis Resultados'!C26,Hoja1!$H$2:$H$45,0)),"")</f>
        <v>Vinculación de los servidores públicos de acuerdo con el marco normativo que les rige (carrera administrativa, libre nombramiento y remoción, entre otros)</v>
      </c>
      <c r="F26" s="126" t="str">
        <f>+IFERROR(VLOOKUP(C26,Hoja1!$H$2:$I$45,2,0),"")</f>
        <v>Si</v>
      </c>
      <c r="G26" s="127" t="str">
        <f t="shared" si="0"/>
        <v>Existe requerimiento pero se requiere actividades  dirigidas a su mantenimiento dentro del marco de las lineas de defensa.</v>
      </c>
      <c r="H26" s="18"/>
      <c r="I26" s="138">
        <f t="shared" si="1"/>
        <v>1</v>
      </c>
      <c r="J26" s="261"/>
    </row>
    <row r="27" spans="1:10" ht="45" x14ac:dyDescent="0.25">
      <c r="A27" s="1"/>
      <c r="B27" s="1"/>
      <c r="C27" s="136">
        <v>9</v>
      </c>
      <c r="D27" s="279"/>
      <c r="E27" s="339" t="str">
        <f>+IFERROR(INDEX(Hoja1!$E$2:$E$45,MATCH('Análisis Resultados'!C27,Hoja1!$H$2:$H$45,0)),"")</f>
        <v>Procesos de inducción, capacitación y bienestar social para sus servidores públicos, de manera directa o en asociación con otras entidades municipales</v>
      </c>
      <c r="F27" s="126" t="str">
        <f>+IFERROR(VLOOKUP(C27,Hoja1!$H$2:$I$45,2,0),"")</f>
        <v>Si</v>
      </c>
      <c r="G27" s="127" t="str">
        <f t="shared" si="0"/>
        <v>Existe requerimiento pero se requiere actividades  dirigidas a su mantenimiento dentro del marco de las lineas de defensa.</v>
      </c>
      <c r="H27" s="18"/>
      <c r="I27" s="138">
        <f t="shared" si="1"/>
        <v>1</v>
      </c>
      <c r="J27" s="261"/>
    </row>
    <row r="28" spans="1:10" ht="45" x14ac:dyDescent="0.25">
      <c r="A28" s="1"/>
      <c r="B28" s="1"/>
      <c r="C28" s="136">
        <v>10</v>
      </c>
      <c r="D28" s="279"/>
      <c r="E28" s="339" t="str">
        <f>+IFERROR(INDEX(Hoja1!$E$2:$E$45,MATCH('Análisis Resultados'!C28,Hoja1!$H$2:$H$45,0)),"")</f>
        <v>Procesos de desvinculación de servidores de acuerdo con lo previsto en la Constitución Política y las leyes</v>
      </c>
      <c r="F28" s="126" t="str">
        <f>+IFERROR(VLOOKUP(C28,Hoja1!$H$2:$I$45,2,0),"")</f>
        <v>Si</v>
      </c>
      <c r="G28" s="127" t="str">
        <f t="shared" si="0"/>
        <v>Existe requerimiento pero se requiere actividades  dirigidas a su mantenimiento dentro del marco de las lineas de defensa.</v>
      </c>
      <c r="H28" s="18"/>
      <c r="I28" s="138">
        <f t="shared" si="1"/>
        <v>1</v>
      </c>
      <c r="J28" s="261"/>
    </row>
    <row r="29" spans="1:10" ht="45" x14ac:dyDescent="0.25">
      <c r="A29" s="1"/>
      <c r="B29" s="1"/>
      <c r="C29" s="136">
        <v>11</v>
      </c>
      <c r="D29" s="279"/>
      <c r="E29" s="339" t="str">
        <f>+IFERROR(INDEX(Hoja1!$E$2:$E$45,MATCH('Análisis Resultados'!C29,Hoja1!$H$2:$H$45,0)),"")</f>
        <v>Mecanismos de rendición de cuentas a la ciudadanía</v>
      </c>
      <c r="F29" s="126" t="str">
        <f>+IFERROR(VLOOKUP(C29,Hoja1!$H$2:$I$45,2,0),"")</f>
        <v>Si</v>
      </c>
      <c r="G29" s="127" t="str">
        <f>+IF(F29="Si","Existe requerimiento pero se requiere actividades  dirigidas a su mantenimiento dentro del marco de las lineas de defensa.",IF(F29="En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H29" s="18"/>
      <c r="I29" s="138">
        <f t="shared" si="1"/>
        <v>1</v>
      </c>
      <c r="J29" s="261"/>
    </row>
    <row r="30" spans="1:10" ht="45.75" thickBot="1" x14ac:dyDescent="0.3">
      <c r="A30" s="1"/>
      <c r="B30" s="1"/>
      <c r="C30" s="136">
        <v>12</v>
      </c>
      <c r="D30" s="280"/>
      <c r="E30" s="340" t="str">
        <f>+IFERROR(INDEX(Hoja1!$E$2:$E$45,MATCH('Análisis Resultados'!C30,Hoja1!$H$2:$H$45,0)),"")</f>
        <v>Presentación oportuna de sus informes de gestión a las autoridades competentes</v>
      </c>
      <c r="F30" s="128" t="str">
        <f>+IFERROR(VLOOKUP(C30,Hoja1!$H$2:$I$45,2,0),"")</f>
        <v>Si</v>
      </c>
      <c r="G30" s="129" t="str">
        <f t="shared" si="0"/>
        <v>Existe requerimiento pero se requiere actividades  dirigidas a su mantenimiento dentro del marco de las lineas de defensa.</v>
      </c>
      <c r="H30" s="18"/>
      <c r="I30" s="139">
        <f t="shared" si="1"/>
        <v>1</v>
      </c>
      <c r="J30" s="262"/>
    </row>
    <row r="31" spans="1:10" ht="45" customHeight="1" x14ac:dyDescent="0.25">
      <c r="A31" s="1"/>
      <c r="B31" s="1"/>
      <c r="C31" s="136">
        <v>13</v>
      </c>
      <c r="D31" s="274" t="s">
        <v>61</v>
      </c>
      <c r="E31" s="338" t="str">
        <f>+IFERROR(INDEX(Hoja1!$E$2:$E$45,MATCH('Análisis Resultados'!C31,Hoja1!$H$2:$H$45,0)),"")</f>
        <v>La identificación de cambios en su entorno que pueden generar consecuencias negativas en su gestión</v>
      </c>
      <c r="F31" s="124" t="str">
        <f>+IFERROR(VLOOKUP(C31,Hoja1!$H$2:$I$45,2,0),"")</f>
        <v>Si</v>
      </c>
      <c r="G31" s="125" t="str">
        <f t="shared" si="0"/>
        <v>Existe requerimiento pero se requiere actividades  dirigidas a su mantenimiento dentro del marco de las lineas de defensa.</v>
      </c>
      <c r="H31" s="18"/>
      <c r="I31" s="137">
        <f t="shared" si="1"/>
        <v>1</v>
      </c>
      <c r="J31" s="258">
        <f>+AVERAGE(I31:I40)</f>
        <v>1</v>
      </c>
    </row>
    <row r="32" spans="1:10" ht="57" customHeight="1" x14ac:dyDescent="0.25">
      <c r="A32" s="1"/>
      <c r="B32" s="1"/>
      <c r="C32" s="136">
        <v>14</v>
      </c>
      <c r="D32" s="275"/>
      <c r="E32" s="339" t="str">
        <f>+IFERROR(INDEX(Hoja1!$E$2:$E$45,MATCH('Análisis Resultados'!C32,Hoja1!$H$2:$H$45,0)),"")</f>
        <v>La identificación de aquellos problemas o aspectos que pueden afectar el cumplimiento de los planes de la entidad y en general su gestión institucional (riesgos)</v>
      </c>
      <c r="F32" s="126" t="str">
        <f>+IFERROR(VLOOKUP(C32,Hoja1!$H$2:$I$45,2,0),"")</f>
        <v>Si</v>
      </c>
      <c r="G32" s="127" t="str">
        <f t="shared" si="0"/>
        <v>Existe requerimiento pero se requiere actividades  dirigidas a su mantenimiento dentro del marco de las lineas de defensa.</v>
      </c>
      <c r="H32" s="18"/>
      <c r="I32" s="138">
        <f t="shared" si="1"/>
        <v>1</v>
      </c>
      <c r="J32" s="259"/>
    </row>
    <row r="33" spans="1:10" ht="54" customHeight="1" x14ac:dyDescent="0.25">
      <c r="A33" s="1"/>
      <c r="B33" s="1"/>
      <c r="C33" s="136">
        <v>15</v>
      </c>
      <c r="D33" s="275"/>
      <c r="E33" s="339" t="str">
        <f>+IFERROR(INDEX(Hoja1!$E$2:$E$45,MATCH('Análisis Resultados'!C33,Hoja1!$H$2:$H$45,0)),"")</f>
        <v>La identificación  de los riesgos relacionados con posibles actos de corrupción en el ejercicio de sus funciones</v>
      </c>
      <c r="F33" s="126" t="str">
        <f>+IFERROR(VLOOKUP(C33,Hoja1!$H$2:$I$45,2,0),"")</f>
        <v>Si</v>
      </c>
      <c r="G33" s="127" t="str">
        <f t="shared" si="0"/>
        <v>Existe requerimiento pero se requiere actividades  dirigidas a su mantenimiento dentro del marco de las lineas de defensa.</v>
      </c>
      <c r="H33" s="18"/>
      <c r="I33" s="138">
        <f t="shared" si="1"/>
        <v>1</v>
      </c>
      <c r="J33" s="259"/>
    </row>
    <row r="34" spans="1:10" ht="45" x14ac:dyDescent="0.25">
      <c r="A34" s="1"/>
      <c r="B34" s="1"/>
      <c r="C34" s="136">
        <v>16</v>
      </c>
      <c r="D34" s="275"/>
      <c r="E34" s="339" t="str">
        <f>+IFERROR(INDEX(Hoja1!$E$2:$E$45,MATCH('Análisis Resultados'!C34,Hoja1!$H$2:$H$45,0)),"")</f>
        <v>Si su capacidad e infraestructura lo permite, identificación de riesgos asociados a las tecnologías de la información y las comunicaciones</v>
      </c>
      <c r="F34" s="126" t="str">
        <f>+IFERROR(VLOOKUP(C34,Hoja1!$H$2:$I$45,2,0),"")</f>
        <v>Si</v>
      </c>
      <c r="G34" s="127" t="str">
        <f t="shared" si="0"/>
        <v>Existe requerimiento pero se requiere actividades  dirigidas a su mantenimiento dentro del marco de las lineas de defensa.</v>
      </c>
      <c r="H34" s="18"/>
      <c r="I34" s="138">
        <f t="shared" si="1"/>
        <v>1</v>
      </c>
      <c r="J34" s="259"/>
    </row>
    <row r="35" spans="1:10" ht="67.5" customHeight="1" x14ac:dyDescent="0.25">
      <c r="A35" s="1"/>
      <c r="B35" s="1"/>
      <c r="C35" s="136">
        <v>17</v>
      </c>
      <c r="D35" s="275"/>
      <c r="E35" s="339" t="str">
        <f>+IFERROR(INDEX(Hoja1!$E$2:$E$45,MATCH('Análisis Resultados'!C35,Hoja1!$H$2:$H$45,0)),"")</f>
        <v>Hacen seguimiento a los problemas (riesgos)  que pueden afectar el cumplimiento de sus procesos, programas o proyectos a cargo</v>
      </c>
      <c r="F35" s="126" t="str">
        <f>+IFERROR(VLOOKUP(C35,Hoja1!$H$2:$I$45,2,0),"")</f>
        <v>Si</v>
      </c>
      <c r="G35" s="127" t="str">
        <f t="shared" si="0"/>
        <v>Existe requerimiento pero se requiere actividades  dirigidas a su mantenimiento dentro del marco de las lineas de defensa.</v>
      </c>
      <c r="H35" s="18"/>
      <c r="I35" s="138">
        <f t="shared" si="1"/>
        <v>1</v>
      </c>
      <c r="J35" s="259"/>
    </row>
    <row r="36" spans="1:10" ht="45" x14ac:dyDescent="0.25">
      <c r="A36" s="1"/>
      <c r="B36" s="1"/>
      <c r="C36" s="136">
        <v>18</v>
      </c>
      <c r="D36" s="275"/>
      <c r="E36" s="339" t="str">
        <f>+IFERROR(INDEX(Hoja1!$E$2:$E$45,MATCH('Análisis Resultados'!C36,Hoja1!$H$2:$H$45,0)),"")</f>
        <v>Informan de manera periódica a quien corresponda sobre el desempeño de las actividades de gestión de riesgos</v>
      </c>
      <c r="F36" s="126" t="str">
        <f>+IFERROR(VLOOKUP(C36,Hoja1!$H$2:$I$45,2,0),"")</f>
        <v>Si</v>
      </c>
      <c r="G36" s="127" t="str">
        <f t="shared" si="0"/>
        <v>Existe requerimiento pero se requiere actividades  dirigidas a su mantenimiento dentro del marco de las lineas de defensa.</v>
      </c>
      <c r="H36" s="18"/>
      <c r="I36" s="138">
        <f t="shared" si="1"/>
        <v>1</v>
      </c>
      <c r="J36" s="259"/>
    </row>
    <row r="37" spans="1:10" ht="57" customHeight="1" x14ac:dyDescent="0.25">
      <c r="A37" s="1"/>
      <c r="B37" s="1"/>
      <c r="C37" s="136">
        <v>19</v>
      </c>
      <c r="D37" s="275"/>
      <c r="E37" s="339" t="str">
        <f>+IFERROR(INDEX(Hoja1!$E$2:$E$45,MATCH('Análisis Resultados'!C37,Hoja1!$H$2:$H$45,0)),"")</f>
        <v>Identifican deficiencias en las maneras de  controlar los riesgos o problemas en sus procesos, programas o proyectos, y propone los ajustes necesarios</v>
      </c>
      <c r="F37" s="126" t="str">
        <f>+IFERROR(VLOOKUP(C37,Hoja1!$H$2:$I$45,2,0),"")</f>
        <v>Si</v>
      </c>
      <c r="G37" s="127" t="str">
        <f t="shared" si="0"/>
        <v>Existe requerimiento pero se requiere actividades  dirigidas a su mantenimiento dentro del marco de las lineas de defensa.</v>
      </c>
      <c r="H37" s="18"/>
      <c r="I37" s="138">
        <f t="shared" si="1"/>
        <v>1</v>
      </c>
      <c r="J37" s="259"/>
    </row>
    <row r="38" spans="1:10" ht="45" x14ac:dyDescent="0.25">
      <c r="A38" s="1"/>
      <c r="B38" s="1"/>
      <c r="C38" s="136">
        <v>20</v>
      </c>
      <c r="D38" s="275"/>
      <c r="E38" s="339" t="str">
        <f>+IFERROR(INDEX(Hoja1!$E$2:$E$45,MATCH('Análisis Resultados'!C38,Hoja1!$H$2:$H$45,0)),"")</f>
        <v>Se definen espacios de reunión para conocerlos y proponer acciones para su solución</v>
      </c>
      <c r="F38" s="126" t="str">
        <f>+IFERROR(VLOOKUP(C38,Hoja1!$H$2:$I$45,2,0),"")</f>
        <v>Si</v>
      </c>
      <c r="G38" s="127" t="str">
        <f t="shared" si="0"/>
        <v>Existe requerimiento pero se requiere actividades  dirigidas a su mantenimiento dentro del marco de las lineas de defensa.</v>
      </c>
      <c r="H38" s="18"/>
      <c r="I38" s="138">
        <f t="shared" si="1"/>
        <v>1</v>
      </c>
      <c r="J38" s="259"/>
    </row>
    <row r="39" spans="1:10" ht="45" x14ac:dyDescent="0.25">
      <c r="A39" s="1"/>
      <c r="B39" s="1"/>
      <c r="C39" s="136">
        <v>21</v>
      </c>
      <c r="D39" s="275"/>
      <c r="E39" s="339" t="str">
        <f>+IFERROR(INDEX(Hoja1!$E$2:$E$45,MATCH('Análisis Resultados'!C39,Hoja1!$H$2:$H$45,0)),"")</f>
        <v>Cada líder del equipo autónomamente toma las acciones para solucionarlos.</v>
      </c>
      <c r="F39" s="126" t="str">
        <f>+IFERROR(VLOOKUP(C39,Hoja1!$H$2:$I$45,2,0),"")</f>
        <v>Si</v>
      </c>
      <c r="G39" s="127" t="str">
        <f t="shared" si="0"/>
        <v>Existe requerimiento pero se requiere actividades  dirigidas a su mantenimiento dentro del marco de las lineas de defensa.</v>
      </c>
      <c r="H39" s="18"/>
      <c r="I39" s="138">
        <f t="shared" si="1"/>
        <v>1</v>
      </c>
      <c r="J39" s="259"/>
    </row>
    <row r="40" spans="1:10" ht="45.75" thickBot="1" x14ac:dyDescent="0.3">
      <c r="A40" s="1"/>
      <c r="B40" s="1"/>
      <c r="C40" s="136">
        <v>22</v>
      </c>
      <c r="D40" s="275"/>
      <c r="E40" s="341" t="str">
        <f>+IFERROR(INDEX(Hoja1!$E$2:$E$45,MATCH('Análisis Resultados'!C40,Hoja1!$H$2:$H$45,0)),"")</f>
        <v>Solamente hasta que un organismo de control actúa se definen acciones de mejora.</v>
      </c>
      <c r="F40" s="130" t="str">
        <f>+IFERROR(VLOOKUP(C40,Hoja1!$H$2:$I$45,2,0),"")</f>
        <v>Si</v>
      </c>
      <c r="G40" s="131" t="str">
        <f t="shared" si="0"/>
        <v>Existe requerimiento pero se requiere actividades  dirigidas a su mantenimiento dentro del marco de las lineas de defensa.</v>
      </c>
      <c r="H40" s="18"/>
      <c r="I40" s="140">
        <f t="shared" si="1"/>
        <v>1</v>
      </c>
      <c r="J40" s="259"/>
    </row>
    <row r="41" spans="1:10" ht="87.75" customHeight="1" x14ac:dyDescent="0.25">
      <c r="A41" s="1"/>
      <c r="B41" s="1"/>
      <c r="C41" s="136">
        <v>23</v>
      </c>
      <c r="D41" s="270" t="s">
        <v>78</v>
      </c>
      <c r="E41" s="338" t="str">
        <f>+IFERROR(INDEX(Hoja1!$E$2:$E$45,MATCH('Análisis Resultados'!C41,Hoja1!$H$2:$H$45,0)),"")</f>
        <v>La definición de acciones o actividades para para dar tratamiento a los problemas identificados (mitigación de riesgos), incluyendo aquellos asociados a posibles actos de corrupción</v>
      </c>
      <c r="F41" s="124" t="str">
        <f>+IFERROR(VLOOKUP(C41,Hoja1!$H$2:$I$45,2,0),"")</f>
        <v>Si</v>
      </c>
      <c r="G41" s="125" t="str">
        <f t="shared" si="0"/>
        <v>Existe requerimiento pero se requiere actividades  dirigidas a su mantenimiento dentro del marco de las lineas de defensa.</v>
      </c>
      <c r="H41" s="18"/>
      <c r="I41" s="137">
        <f t="shared" si="1"/>
        <v>1</v>
      </c>
      <c r="J41" s="258">
        <f>+AVERAGE(I41:I45)</f>
        <v>1</v>
      </c>
    </row>
    <row r="42" spans="1:10" ht="45" x14ac:dyDescent="0.25">
      <c r="A42" s="1"/>
      <c r="B42" s="1"/>
      <c r="C42" s="136">
        <v>24</v>
      </c>
      <c r="D42" s="271"/>
      <c r="E42" s="339" t="str">
        <f>+IFERROR(INDEX(Hoja1!$E$2:$E$45,MATCH('Análisis Resultados'!C42,Hoja1!$H$2:$H$45,0)),"")</f>
        <v>Mecanismos de verificación de si se están o no mitigando los riesgos, o en su defecto, elaboración de planes de contingencia para subsanar sus consecuencias</v>
      </c>
      <c r="F42" s="126" t="str">
        <f>+IFERROR(VLOOKUP(C42,Hoja1!$H$2:$I$45,2,0),"")</f>
        <v>Si</v>
      </c>
      <c r="G42" s="127" t="str">
        <f t="shared" si="0"/>
        <v>Existe requerimiento pero se requiere actividades  dirigidas a su mantenimiento dentro del marco de las lineas de defensa.</v>
      </c>
      <c r="H42" s="18"/>
      <c r="I42" s="138">
        <f t="shared" si="1"/>
        <v>1</v>
      </c>
      <c r="J42" s="259"/>
    </row>
    <row r="43" spans="1:10" ht="85.5" customHeight="1" x14ac:dyDescent="0.25">
      <c r="A43" s="1"/>
      <c r="B43" s="1"/>
      <c r="C43" s="136">
        <v>25</v>
      </c>
      <c r="D43" s="271"/>
      <c r="E43" s="339" t="str">
        <f>+IFERROR(INDEX(Hoja1!$E$2:$E$45,MATCH('Análisis Resultados'!C43,Hoja1!$H$2:$H$45,0)),"")</f>
        <v>Planes, acciones o estrategias que permitan subsanar las consecuencias de la materialización de los riesgos, cuando se presentan</v>
      </c>
      <c r="F43" s="126" t="str">
        <f>+IFERROR(VLOOKUP(C43,Hoja1!$H$2:$I$45,2,0),"")</f>
        <v>Si</v>
      </c>
      <c r="G43" s="127" t="str">
        <f t="shared" si="0"/>
        <v>Existe requerimiento pero se requiere actividades  dirigidas a su mantenimiento dentro del marco de las lineas de defensa.</v>
      </c>
      <c r="H43" s="18"/>
      <c r="I43" s="138">
        <f t="shared" si="1"/>
        <v>1</v>
      </c>
      <c r="J43" s="259"/>
    </row>
    <row r="44" spans="1:10" ht="57" customHeight="1" x14ac:dyDescent="0.25">
      <c r="A44" s="1"/>
      <c r="B44" s="1"/>
      <c r="C44" s="136">
        <v>26</v>
      </c>
      <c r="D44" s="271"/>
      <c r="E44" s="339" t="str">
        <f>+IFERROR(INDEX(Hoja1!$E$2:$E$45,MATCH('Análisis Resultados'!C44,Hoja1!$H$2:$H$45,0)),"")</f>
        <v>Un documento que consolide  los riesgos  y el tratamiento que se les da, incluyendo aquellos que conllevan posibles actos de corrupción y si la capacidad e infraestructura lo permite, los asociados con las tecnologías de la información y las comunicaciones</v>
      </c>
      <c r="F44" s="126" t="str">
        <f>+IFERROR(VLOOKUP(C44,Hoja1!$H$2:$I$45,2,0),"")</f>
        <v>Si</v>
      </c>
      <c r="G44" s="127" t="str">
        <f t="shared" si="0"/>
        <v>Existe requerimiento pero se requiere actividades  dirigidas a su mantenimiento dentro del marco de las lineas de defensa.</v>
      </c>
      <c r="H44" s="18"/>
      <c r="I44" s="138">
        <f t="shared" si="1"/>
        <v>1</v>
      </c>
      <c r="J44" s="259"/>
    </row>
    <row r="45" spans="1:10" ht="57" customHeight="1" thickBot="1" x14ac:dyDescent="0.3">
      <c r="A45" s="1"/>
      <c r="B45" s="1"/>
      <c r="C45" s="136">
        <v>27</v>
      </c>
      <c r="D45" s="272"/>
      <c r="E45" s="340" t="str">
        <f>+IFERROR(INDEX(Hoja1!$E$2:$E$45,MATCH('Análisis Resultados'!C45,Hoja1!$H$2:$H$45,0)),"")</f>
        <v>Un plan anticorrupción y de servicio al ciudadano con los temas que le aplican, publicado en algún medio para conocimiento de la ciudadanía</v>
      </c>
      <c r="F45" s="128" t="str">
        <f>+IFERROR(VLOOKUP(C45,Hoja1!$H$2:$I$45,2,0),"")</f>
        <v>Si</v>
      </c>
      <c r="G45" s="129" t="str">
        <f t="shared" si="0"/>
        <v>Existe requerimiento pero se requiere actividades  dirigidas a su mantenimiento dentro del marco de las lineas de defensa.</v>
      </c>
      <c r="H45" s="18"/>
      <c r="I45" s="139">
        <f t="shared" si="1"/>
        <v>1</v>
      </c>
      <c r="J45" s="273"/>
    </row>
    <row r="46" spans="1:10" ht="63.75" customHeight="1" x14ac:dyDescent="0.25">
      <c r="A46" s="1"/>
      <c r="B46" s="1"/>
      <c r="C46" s="136">
        <v>28</v>
      </c>
      <c r="D46" s="269" t="s">
        <v>86</v>
      </c>
      <c r="E46" s="342" t="str">
        <f>+IFERROR(INDEX(Hoja1!$E$2:$E$45,MATCH('Análisis Resultados'!C46,Hoja1!$H$2:$H$45,0)),"")</f>
        <v>Responsables de la información institucional</v>
      </c>
      <c r="F46" s="132" t="str">
        <f>+IFERROR(VLOOKUP(C46,Hoja1!$H$2:$I$45,2,0),"")</f>
        <v>Si</v>
      </c>
      <c r="G46" s="133" t="str">
        <f t="shared" si="0"/>
        <v>Existe requerimiento pero se requiere actividades  dirigidas a su mantenimiento dentro del marco de las lineas de defensa.</v>
      </c>
      <c r="H46" s="18"/>
      <c r="I46" s="141">
        <f t="shared" si="1"/>
        <v>1</v>
      </c>
      <c r="J46" s="259">
        <f>+AVERAGE(I46:I52)</f>
        <v>1</v>
      </c>
    </row>
    <row r="47" spans="1:10" ht="92.25" customHeight="1" x14ac:dyDescent="0.25">
      <c r="A47" s="1"/>
      <c r="B47" s="1"/>
      <c r="C47" s="136">
        <v>29</v>
      </c>
      <c r="D47" s="269"/>
      <c r="E47" s="339" t="str">
        <f>+IFERROR(INDEX(Hoja1!$E$2:$E$45,MATCH('Análisis Resultados'!C47,Hoja1!$H$2:$H$45,0)),"")</f>
        <v>Canales de comunicación con los ciudadanos</v>
      </c>
      <c r="F47" s="126" t="str">
        <f>+IFERROR(VLOOKUP(C47,Hoja1!$H$2:$I$45,2,0),"")</f>
        <v>Si</v>
      </c>
      <c r="G47" s="134" t="str">
        <f t="shared" si="0"/>
        <v>Existe requerimiento pero se requiere actividades  dirigidas a su mantenimiento dentro del marco de las lineas de defensa.</v>
      </c>
      <c r="H47" s="18"/>
      <c r="I47" s="142">
        <f t="shared" si="1"/>
        <v>1</v>
      </c>
      <c r="J47" s="259"/>
    </row>
    <row r="48" spans="1:10" ht="66.75" customHeight="1" x14ac:dyDescent="0.25">
      <c r="A48" s="1"/>
      <c r="B48" s="1"/>
      <c r="C48" s="136">
        <v>30</v>
      </c>
      <c r="D48" s="269"/>
      <c r="E48" s="339" t="str">
        <f>+IFERROR(INDEX(Hoja1!$E$2:$E$45,MATCH('Análisis Resultados'!C48,Hoja1!$H$2:$H$45,0)),"")</f>
        <v>Canales de comunicación o mecanismos de reporte de información a otros organismos gubernamentales o de control</v>
      </c>
      <c r="F48" s="126" t="str">
        <f>+IFERROR(VLOOKUP(C48,Hoja1!$H$2:$I$45,2,0),"")</f>
        <v>Si</v>
      </c>
      <c r="G48" s="134" t="str">
        <f t="shared" si="0"/>
        <v>Existe requerimiento pero se requiere actividades  dirigidas a su mantenimiento dentro del marco de las lineas de defensa.</v>
      </c>
      <c r="H48" s="18"/>
      <c r="I48" s="142">
        <f t="shared" si="1"/>
        <v>1</v>
      </c>
      <c r="J48" s="259"/>
    </row>
    <row r="49" spans="1:10" ht="60" customHeight="1" x14ac:dyDescent="0.25">
      <c r="A49" s="1"/>
      <c r="B49" s="1"/>
      <c r="C49" s="136">
        <v>31</v>
      </c>
      <c r="D49" s="269"/>
      <c r="E49" s="339" t="str">
        <f>+IFERROR(INDEX(Hoja1!$E$2:$E$45,MATCH('Análisis Resultados'!C49,Hoja1!$H$2:$H$45,0)),"")</f>
        <v xml:space="preserve">Lineamientos para dar tratamiento a la información de carácter reservado </v>
      </c>
      <c r="F49" s="126" t="str">
        <f>+IFERROR(VLOOKUP(C49,Hoja1!$H$2:$I$45,2,0),"")</f>
        <v>Si</v>
      </c>
      <c r="G49" s="134" t="str">
        <f t="shared" si="0"/>
        <v>Existe requerimiento pero se requiere actividades  dirigidas a su mantenimiento dentro del marco de las lineas de defensa.</v>
      </c>
      <c r="H49" s="18"/>
      <c r="I49" s="142">
        <f t="shared" si="1"/>
        <v>1</v>
      </c>
      <c r="J49" s="259"/>
    </row>
    <row r="50" spans="1:10" ht="57" customHeight="1" x14ac:dyDescent="0.25">
      <c r="A50" s="1"/>
      <c r="B50" s="1"/>
      <c r="C50" s="136">
        <v>32</v>
      </c>
      <c r="D50" s="269"/>
      <c r="E50" s="339" t="str">
        <f>+IFERROR(INDEX(Hoja1!$E$2:$E$45,MATCH('Análisis Resultados'!C50,Hoja1!$H$2:$H$45,0)),"")</f>
        <v>Identificación de información que produce en el marco de su gestión (Para los ciudadanos, organismos de control, organismos gubernamentales, entre otros)</v>
      </c>
      <c r="F50" s="126" t="str">
        <f>+IFERROR(VLOOKUP(C50,Hoja1!$H$2:$I$45,2,0),"")</f>
        <v>Si</v>
      </c>
      <c r="G50" s="134" t="str">
        <f t="shared" si="0"/>
        <v>Existe requerimiento pero se requiere actividades  dirigidas a su mantenimiento dentro del marco de las lineas de defensa.</v>
      </c>
      <c r="H50" s="18"/>
      <c r="I50" s="142">
        <f t="shared" si="1"/>
        <v>1</v>
      </c>
      <c r="J50" s="259"/>
    </row>
    <row r="51" spans="1:10" ht="57" customHeight="1" x14ac:dyDescent="0.25">
      <c r="A51" s="1"/>
      <c r="B51" s="1"/>
      <c r="C51" s="136">
        <v>33</v>
      </c>
      <c r="D51" s="269"/>
      <c r="E51" s="339" t="str">
        <f>+IFERROR(INDEX(Hoja1!$E$2:$E$45,MATCH('Análisis Resultados'!C51,Hoja1!$H$2:$H$45,0)),"")</f>
        <v>Identificación de información necesaria para la operación de la entidad (normograma, presupuesto, talento humano, infraestructura física y tecnológica)</v>
      </c>
      <c r="F51" s="126" t="str">
        <f>+IFERROR(VLOOKUP(C51,Hoja1!$H$2:$I$45,2,0),"")</f>
        <v>Si</v>
      </c>
      <c r="G51" s="134" t="str">
        <f t="shared" si="0"/>
        <v>Existe requerimiento pero se requiere actividades  dirigidas a su mantenimiento dentro del marco de las lineas de defensa.</v>
      </c>
      <c r="H51" s="18"/>
      <c r="I51" s="142">
        <f t="shared" si="1"/>
        <v>1</v>
      </c>
      <c r="J51" s="259"/>
    </row>
    <row r="52" spans="1:10" ht="45.75" thickBot="1" x14ac:dyDescent="0.3">
      <c r="A52" s="1"/>
      <c r="B52" s="1"/>
      <c r="C52" s="136">
        <v>34</v>
      </c>
      <c r="D52" s="269"/>
      <c r="E52" s="341" t="str">
        <f>+IFERROR(INDEX(Hoja1!$E$2:$E$45,MATCH('Análisis Resultados'!C52,Hoja1!$H$2:$H$45,0)),"")</f>
        <v>Si su capacidad e infraestructura lo permite, tecnologías de la información y las comunicaciones que soporten estos procesos</v>
      </c>
      <c r="F52" s="130" t="str">
        <f>+IFERROR(VLOOKUP(C52,Hoja1!$H$2:$I$45,2,0),"")</f>
        <v>Si</v>
      </c>
      <c r="G52" s="135" t="str">
        <f t="shared" si="0"/>
        <v>Existe requerimiento pero se requiere actividades  dirigidas a su mantenimiento dentro del marco de las lineas de defensa.</v>
      </c>
      <c r="H52" s="18"/>
      <c r="I52" s="143">
        <f t="shared" si="1"/>
        <v>1</v>
      </c>
      <c r="J52" s="259"/>
    </row>
    <row r="53" spans="1:10" ht="41.25" customHeight="1" x14ac:dyDescent="0.25">
      <c r="A53" s="1"/>
      <c r="B53" s="1"/>
      <c r="C53" s="136">
        <v>35</v>
      </c>
      <c r="D53" s="263" t="s">
        <v>96</v>
      </c>
      <c r="E53" s="338" t="str">
        <f>+IFERROR(INDEX(Hoja1!$E$2:$E$45,MATCH('Análisis Resultados'!C53,Hoja1!$H$2:$H$45,0)),"")</f>
        <v>La entidad participa en el  Comité Municipal de Auditoría?</v>
      </c>
      <c r="F53" s="124" t="str">
        <f>+IFERROR(VLOOKUP(C53,Hoja1!$H$2:$I$45,2,0),"")</f>
        <v>No</v>
      </c>
      <c r="G53" s="125" t="str">
        <f t="shared" si="0"/>
        <v>No se encuentra el aspecto  por lo tanto la entidad debera generar acciones dirigidas a que se cumpla con el requerimiento.</v>
      </c>
      <c r="H53" s="18"/>
      <c r="I53" s="137">
        <f t="shared" si="1"/>
        <v>0</v>
      </c>
      <c r="J53" s="266">
        <f>+AVERAGE(I53:I62)</f>
        <v>0.9</v>
      </c>
    </row>
    <row r="54" spans="1:10" ht="58.5" customHeight="1" x14ac:dyDescent="0.25">
      <c r="A54" s="1"/>
      <c r="B54" s="1"/>
      <c r="C54" s="136">
        <v>36</v>
      </c>
      <c r="D54" s="264"/>
      <c r="E54" s="339" t="str">
        <f>+IFERROR(INDEX(Hoja1!$E$2:$E$45,MATCH('Análisis Resultados'!C54,Hoja1!$H$2:$H$45,0)),"")</f>
        <v>Mecanismos de evaluación de la gestión (cronogramas, indicadores, listas de chequeo u otros)</v>
      </c>
      <c r="F54" s="126" t="str">
        <f>+IFERROR(VLOOKUP(C54,Hoja1!$H$2:$I$45,2,0),"")</f>
        <v>Si</v>
      </c>
      <c r="G54" s="127" t="str">
        <f t="shared" si="0"/>
        <v>Existe requerimiento pero se requiere actividades  dirigidas a su mantenimiento dentro del marco de las lineas de defensa.</v>
      </c>
      <c r="H54" s="18"/>
      <c r="I54" s="138">
        <f t="shared" si="1"/>
        <v>1</v>
      </c>
      <c r="J54" s="267"/>
    </row>
    <row r="55" spans="1:10" s="1" customFormat="1" ht="84.75" customHeight="1" x14ac:dyDescent="0.25">
      <c r="C55" s="136">
        <v>37</v>
      </c>
      <c r="D55" s="264"/>
      <c r="E55" s="339" t="str">
        <f>+IFERROR(INDEX(Hoja1!$E$2:$E$45,MATCH('Análisis Resultados'!C55,Hoja1!$H$2:$H$45,0)),"")</f>
        <v>Algún mecanismo para monitorear o supervisar el sistema de control interno institucional, ya sea por parte del representante legal, o del área de control interno (si la entidad cuenta con ella), o bien a través del Comité departamental o municipal de Auditoría.</v>
      </c>
      <c r="F55" s="126" t="str">
        <f>+IFERROR(VLOOKUP(C55,Hoja1!$H$2:$I$45,2,0),"")</f>
        <v>Si</v>
      </c>
      <c r="G55" s="127" t="str">
        <f t="shared" si="0"/>
        <v>Existe requerimiento pero se requiere actividades  dirigidas a su mantenimiento dentro del marco de las lineas de defensa.</v>
      </c>
      <c r="H55" s="6"/>
      <c r="I55" s="138">
        <f t="shared" si="1"/>
        <v>1</v>
      </c>
      <c r="J55" s="267"/>
    </row>
    <row r="56" spans="1:10" s="1" customFormat="1" ht="78.75" customHeight="1" x14ac:dyDescent="0.25">
      <c r="C56" s="136">
        <v>38</v>
      </c>
      <c r="D56" s="264"/>
      <c r="E56" s="339" t="str">
        <f>+IFERROR(INDEX(Hoja1!$E$2:$E$45,MATCH('Análisis Resultados'!C56,Hoja1!$H$2:$H$45,0)),"")</f>
        <v>Medidas correctivas en caso de detectarse deficiencias en los ejercicios de evaluación, seguimiento o auditoría</v>
      </c>
      <c r="F56" s="126" t="str">
        <f>+IFERROR(VLOOKUP(C56,Hoja1!$H$2:$I$45,2,0),"")</f>
        <v>Si</v>
      </c>
      <c r="G56" s="127" t="str">
        <f t="shared" si="0"/>
        <v>Existe requerimiento pero se requiere actividades  dirigidas a su mantenimiento dentro del marco de las lineas de defensa.</v>
      </c>
      <c r="H56" s="6"/>
      <c r="I56" s="138">
        <f t="shared" si="1"/>
        <v>1</v>
      </c>
      <c r="J56" s="267"/>
    </row>
    <row r="57" spans="1:10" s="1" customFormat="1" ht="54.75" customHeight="1" x14ac:dyDescent="0.25">
      <c r="C57" s="136">
        <v>39</v>
      </c>
      <c r="D57" s="264"/>
      <c r="E57" s="339" t="str">
        <f>+IFERROR(INDEX(Hoja1!$E$2:$E$45,MATCH('Análisis Resultados'!C57,Hoja1!$H$2:$H$45,0)),"")</f>
        <v>Seguimiento a los planes de mejoramiento suscritos con instancias de control internas o externas</v>
      </c>
      <c r="F57" s="126" t="str">
        <f>+IFERROR(VLOOKUP(C57,Hoja1!$H$2:$I$45,2,0),"")</f>
        <v>Si</v>
      </c>
      <c r="G57" s="127" t="str">
        <f t="shared" si="0"/>
        <v>Existe requerimiento pero se requiere actividades  dirigidas a su mantenimiento dentro del marco de las lineas de defensa.</v>
      </c>
      <c r="H57" s="6"/>
      <c r="I57" s="138">
        <f t="shared" si="1"/>
        <v>1</v>
      </c>
      <c r="J57" s="267"/>
    </row>
    <row r="58" spans="1:10" s="1" customFormat="1" ht="68.25" customHeight="1" x14ac:dyDescent="0.25">
      <c r="C58" s="136">
        <v>40</v>
      </c>
      <c r="D58" s="264"/>
      <c r="E58" s="339" t="str">
        <f>+IFERROR(INDEX(Hoja1!$E$2:$E$45,MATCH('Análisis Resultados'!C58,Hoja1!$H$2:$H$45,0)),"")</f>
        <v>Evitar que los problemas (riesgos) obstaculicen el cumplimiento de los objetivos.</v>
      </c>
      <c r="F58" s="126" t="str">
        <f>+IFERROR(VLOOKUP(C58,Hoja1!$H$2:$I$45,2,0),"")</f>
        <v>Si</v>
      </c>
      <c r="G58" s="127" t="str">
        <f t="shared" si="0"/>
        <v>Existe requerimiento pero se requiere actividades  dirigidas a su mantenimiento dentro del marco de las lineas de defensa.</v>
      </c>
      <c r="H58" s="6"/>
      <c r="I58" s="138">
        <f t="shared" si="1"/>
        <v>1</v>
      </c>
      <c r="J58" s="267"/>
    </row>
    <row r="59" spans="1:10" s="1" customFormat="1" ht="45" customHeight="1" x14ac:dyDescent="0.25">
      <c r="C59" s="136">
        <v>41</v>
      </c>
      <c r="D59" s="264"/>
      <c r="E59" s="339" t="str">
        <f>+IFERROR(INDEX(Hoja1!$E$2:$E$45,MATCH('Análisis Resultados'!C59,Hoja1!$H$2:$H$45,0)),"")</f>
        <v>Controlar los puntos críticos en los procesos.</v>
      </c>
      <c r="F59" s="126" t="str">
        <f>+IFERROR(VLOOKUP(C59,Hoja1!$H$2:$I$45,2,0),"")</f>
        <v>Si</v>
      </c>
      <c r="G59" s="127" t="str">
        <f t="shared" si="0"/>
        <v>Existe requerimiento pero se requiere actividades  dirigidas a su mantenimiento dentro del marco de las lineas de defensa.</v>
      </c>
      <c r="H59" s="6"/>
      <c r="I59" s="138">
        <f t="shared" si="1"/>
        <v>1</v>
      </c>
      <c r="J59" s="267"/>
    </row>
    <row r="60" spans="1:10" s="1" customFormat="1" ht="51.75" customHeight="1" x14ac:dyDescent="0.25">
      <c r="C60" s="136">
        <v>42</v>
      </c>
      <c r="D60" s="264"/>
      <c r="E60" s="339" t="str">
        <f>+IFERROR(INDEX(Hoja1!$E$2:$E$45,MATCH('Análisis Resultados'!C60,Hoja1!$H$2:$H$45,0)),"")</f>
        <v>Diseñar acciones adecuadas para controlar los problemas que afectan el cumplimiento de las metas y objetivos institucionales (riesgos).</v>
      </c>
      <c r="F60" s="126" t="str">
        <f>+IFERROR(VLOOKUP(C60,Hoja1!$H$2:$I$45,2,0),"")</f>
        <v>Si</v>
      </c>
      <c r="G60" s="127" t="str">
        <f t="shared" si="0"/>
        <v>Existe requerimiento pero se requiere actividades  dirigidas a su mantenimiento dentro del marco de las lineas de defensa.</v>
      </c>
      <c r="H60" s="6"/>
      <c r="I60" s="138">
        <f t="shared" si="1"/>
        <v>1</v>
      </c>
      <c r="J60" s="267"/>
    </row>
    <row r="61" spans="1:10" s="1" customFormat="1" ht="84" customHeight="1" x14ac:dyDescent="0.25">
      <c r="C61" s="136">
        <v>43</v>
      </c>
      <c r="D61" s="264"/>
      <c r="E61" s="339" t="str">
        <f>+IFERROR(INDEX(Hoja1!$E$2:$E$45,MATCH('Análisis Resultados'!C61,Hoja1!$H$2:$H$45,0)),"")</f>
        <v>Ejecutar las acciones de acuerdo a como se diseñaron previamente.</v>
      </c>
      <c r="F61" s="126" t="str">
        <f>+IFERROR(VLOOKUP(C61,Hoja1!$H$2:$I$45,2,0),"")</f>
        <v>Si</v>
      </c>
      <c r="G61" s="127" t="str">
        <f t="shared" si="0"/>
        <v>Existe requerimiento pero se requiere actividades  dirigidas a su mantenimiento dentro del marco de las lineas de defensa.</v>
      </c>
      <c r="H61" s="6"/>
      <c r="I61" s="138">
        <f t="shared" si="1"/>
        <v>1</v>
      </c>
      <c r="J61" s="267"/>
    </row>
    <row r="62" spans="1:10" s="1" customFormat="1" ht="60" customHeight="1" thickBot="1" x14ac:dyDescent="0.3">
      <c r="C62" s="136">
        <v>44</v>
      </c>
      <c r="D62" s="265"/>
      <c r="E62" s="340" t="str">
        <f>+IFERROR(INDEX(Hoja1!$E$2:$E$45,MATCH('Análisis Resultados'!C62,Hoja1!$H$2:$H$45,0)),"")</f>
        <v>No se gestionan los problemas que afectan el cumplimiento de las funciones y objetivos institucionales(riesgos).</v>
      </c>
      <c r="F62" s="128" t="str">
        <f>+IFERROR(VLOOKUP(C62,Hoja1!$H$2:$I$45,2,0),"")</f>
        <v>Si</v>
      </c>
      <c r="G62" s="129" t="str">
        <f t="shared" si="0"/>
        <v>Existe requerimiento pero se requiere actividades  dirigidas a su mantenimiento dentro del marco de las lineas de defensa.</v>
      </c>
      <c r="H62" s="6"/>
      <c r="I62" s="139">
        <f t="shared" si="1"/>
        <v>1</v>
      </c>
      <c r="J62" s="268"/>
    </row>
    <row r="63" spans="1:10" s="1" customFormat="1" x14ac:dyDescent="0.25">
      <c r="H63" s="6"/>
    </row>
    <row r="64" spans="1:10" s="1" customFormat="1" x14ac:dyDescent="0.25">
      <c r="H64" s="6"/>
    </row>
    <row r="65" spans="1:2" s="1" customFormat="1" x14ac:dyDescent="0.25"/>
    <row r="66" spans="1:2" s="1" customFormat="1" x14ac:dyDescent="0.25"/>
    <row r="67" spans="1:2" s="1" customFormat="1" x14ac:dyDescent="0.25"/>
    <row r="68" spans="1:2" s="1" customFormat="1" x14ac:dyDescent="0.25"/>
    <row r="69" spans="1:2" s="1" customFormat="1" x14ac:dyDescent="0.25"/>
    <row r="70" spans="1:2" s="1" customFormat="1" x14ac:dyDescent="0.25"/>
    <row r="71" spans="1:2" x14ac:dyDescent="0.25">
      <c r="A71" s="1"/>
      <c r="B71" s="1"/>
    </row>
    <row r="72" spans="1:2" x14ac:dyDescent="0.25">
      <c r="A72" s="1"/>
      <c r="B72" s="1"/>
    </row>
    <row r="73" spans="1:2" x14ac:dyDescent="0.25">
      <c r="A73" s="1"/>
      <c r="B73" s="1"/>
    </row>
    <row r="74" spans="1:2" x14ac:dyDescent="0.25">
      <c r="A74" s="1"/>
      <c r="B74" s="1"/>
    </row>
  </sheetData>
  <sheetProtection algorithmName="SHA-512" hashValue="2c/K7BVeA+JOjsvnu2HILGfEHHcx80UTyQTucJ5c70tus45UaD3gXdqjB7xLC6LydtmfT9VN5B07LstuhHP+UQ==" saltValue="5+Ylqwr6SZ9tvbSyY2m3gQ==" spinCount="100000" sheet="1" objects="1" scenarios="1" formatCells="0"/>
  <mergeCells count="25">
    <mergeCell ref="C7:K7"/>
    <mergeCell ref="C9:D9"/>
    <mergeCell ref="E9:F9"/>
    <mergeCell ref="C10:D10"/>
    <mergeCell ref="E10:F10"/>
    <mergeCell ref="C11:D11"/>
    <mergeCell ref="E11:F11"/>
    <mergeCell ref="J17:J18"/>
    <mergeCell ref="D19:D30"/>
    <mergeCell ref="C17:C18"/>
    <mergeCell ref="D17:E17"/>
    <mergeCell ref="F17:F18"/>
    <mergeCell ref="G17:G18"/>
    <mergeCell ref="I17:I18"/>
    <mergeCell ref="J31:J40"/>
    <mergeCell ref="C12:D12"/>
    <mergeCell ref="E12:F12"/>
    <mergeCell ref="J19:J30"/>
    <mergeCell ref="D53:D62"/>
    <mergeCell ref="J53:J62"/>
    <mergeCell ref="D46:D52"/>
    <mergeCell ref="J46:J52"/>
    <mergeCell ref="D41:D45"/>
    <mergeCell ref="J41:J45"/>
    <mergeCell ref="D31:D40"/>
  </mergeCells>
  <conditionalFormatting sqref="I19:I62">
    <cfRule type="cellIs" dxfId="19" priority="4" operator="between">
      <formula>0.75</formula>
      <formula>1</formula>
    </cfRule>
    <cfRule type="cellIs" dxfId="18" priority="5" operator="between">
      <formula>0.5</formula>
      <formula>0.74</formula>
    </cfRule>
    <cfRule type="cellIs" dxfId="17" priority="6" operator="between">
      <formula>0</formula>
      <formula>0.49</formula>
    </cfRule>
  </conditionalFormatting>
  <conditionalFormatting sqref="J53 J19:J31 J46 J41">
    <cfRule type="cellIs" priority="1" operator="between">
      <formula>0.75</formula>
      <formula>1</formula>
    </cfRule>
    <cfRule type="cellIs" dxfId="16" priority="2" operator="between">
      <formula>0.5</formula>
      <formula>0.75</formula>
    </cfRule>
    <cfRule type="cellIs" dxfId="15" priority="3" operator="between">
      <formula>0</formula>
      <formula>0.49</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7" operator="containsText" id="{B5EC0094-D2B5-49BB-B6F9-E988382E1263}">
            <xm:f>NOT(ISERROR(SEARCH($E$12,G19)))</xm:f>
            <xm:f>$E$12</xm:f>
            <x14:dxf>
              <fill>
                <patternFill>
                  <bgColor rgb="FFFF0000"/>
                </patternFill>
              </fill>
            </x14:dxf>
          </x14:cfRule>
          <x14:cfRule type="containsText" priority="8" operator="containsText" id="{D802A135-824D-43A0-835B-FE63514274DE}">
            <xm:f>NOT(ISERROR(SEARCH($E$11,G19)))</xm:f>
            <xm:f>$E$11</xm:f>
            <x14:dxf>
              <fill>
                <patternFill>
                  <bgColor rgb="FFFFFF00"/>
                </patternFill>
              </fill>
            </x14:dxf>
          </x14:cfRule>
          <x14:cfRule type="containsText" priority="9" operator="containsText" id="{D7844022-1CB2-4683-9B09-8D3EA8F0FDED}">
            <xm:f>NOT(ISERROR(SEARCH($E$10,G19)))</xm:f>
            <xm:f>$E$10</xm:f>
            <x14:dxf>
              <fill>
                <patternFill>
                  <bgColor rgb="FF00B050"/>
                </patternFill>
              </fill>
            </x14:dxf>
          </x14:cfRule>
          <xm:sqref>G19:G62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tabSelected="1" zoomScale="55" zoomScaleNormal="55" workbookViewId="0">
      <selection activeCell="I8" sqref="I8:K8"/>
    </sheetView>
  </sheetViews>
  <sheetFormatPr baseColWidth="10" defaultColWidth="11.42578125" defaultRowHeight="15" x14ac:dyDescent="0.25"/>
  <cols>
    <col min="1" max="1" width="4.42578125" customWidth="1"/>
    <col min="3" max="3" width="35.5703125" customWidth="1"/>
    <col min="4" max="4" width="13" customWidth="1"/>
    <col min="5" max="5" width="43.28515625" customWidth="1"/>
    <col min="7" max="7" width="33.85546875" customWidth="1"/>
    <col min="9" max="9" width="92.28515625" customWidth="1"/>
    <col min="13" max="13" width="29" customWidth="1"/>
  </cols>
  <sheetData>
    <row r="1" spans="1:17" s="1" customFormat="1" x14ac:dyDescent="0.25"/>
    <row r="2" spans="1:17" ht="15.75" thickBot="1" x14ac:dyDescent="0.3">
      <c r="A2" s="1"/>
      <c r="B2" s="1"/>
      <c r="C2" s="1"/>
      <c r="D2" s="1"/>
      <c r="E2" s="1"/>
      <c r="F2" s="1"/>
      <c r="G2" s="1"/>
      <c r="H2" s="1"/>
      <c r="I2" s="1"/>
      <c r="J2" s="1"/>
      <c r="K2" s="1"/>
      <c r="L2" s="1"/>
      <c r="M2" s="1"/>
      <c r="N2" s="1"/>
      <c r="O2" s="1"/>
      <c r="P2" s="1"/>
      <c r="Q2" s="1"/>
    </row>
    <row r="3" spans="1:17" ht="15.75" thickTop="1" x14ac:dyDescent="0.25">
      <c r="A3" s="1"/>
      <c r="B3" s="2"/>
      <c r="C3" s="3"/>
      <c r="D3" s="3"/>
      <c r="E3" s="3"/>
      <c r="F3" s="3"/>
      <c r="G3" s="3"/>
      <c r="H3" s="3"/>
      <c r="I3" s="3"/>
      <c r="J3" s="3"/>
      <c r="K3" s="3"/>
      <c r="L3" s="3"/>
      <c r="M3" s="3"/>
      <c r="N3" s="3"/>
      <c r="O3" s="3"/>
      <c r="P3" s="4"/>
      <c r="Q3" s="1"/>
    </row>
    <row r="4" spans="1:17" ht="16.5" x14ac:dyDescent="0.3">
      <c r="A4" s="1"/>
      <c r="B4" s="5"/>
      <c r="C4" s="6"/>
      <c r="D4" s="6"/>
      <c r="E4" s="296" t="s">
        <v>123</v>
      </c>
      <c r="F4" s="298" t="s">
        <v>232</v>
      </c>
      <c r="G4" s="298"/>
      <c r="H4" s="298"/>
      <c r="I4" s="298"/>
      <c r="J4" s="298"/>
      <c r="K4" s="298"/>
      <c r="L4" s="298"/>
      <c r="M4" s="298"/>
      <c r="N4" s="7"/>
      <c r="O4" s="7"/>
      <c r="P4" s="8"/>
      <c r="Q4" s="1"/>
    </row>
    <row r="5" spans="1:17" ht="45.75" customHeight="1" x14ac:dyDescent="0.3">
      <c r="A5" s="1"/>
      <c r="B5" s="5"/>
      <c r="C5" s="6"/>
      <c r="D5" s="6"/>
      <c r="E5" s="297"/>
      <c r="F5" s="298"/>
      <c r="G5" s="298"/>
      <c r="H5" s="298"/>
      <c r="I5" s="298"/>
      <c r="J5" s="298"/>
      <c r="K5" s="298"/>
      <c r="L5" s="298"/>
      <c r="M5" s="298"/>
      <c r="N5" s="7"/>
      <c r="O5" s="7"/>
      <c r="P5" s="8"/>
      <c r="Q5" s="1"/>
    </row>
    <row r="6" spans="1:17" ht="66.75" customHeight="1" x14ac:dyDescent="0.3">
      <c r="A6" s="1"/>
      <c r="B6" s="5"/>
      <c r="C6" s="6"/>
      <c r="D6" s="6"/>
      <c r="E6" s="96" t="s">
        <v>124</v>
      </c>
      <c r="F6" s="299" t="s">
        <v>242</v>
      </c>
      <c r="G6" s="300"/>
      <c r="H6" s="300"/>
      <c r="I6" s="300"/>
      <c r="J6" s="300"/>
      <c r="K6" s="300"/>
      <c r="L6" s="300"/>
      <c r="M6" s="301"/>
      <c r="N6" s="9"/>
      <c r="O6" s="9"/>
      <c r="P6" s="8"/>
      <c r="Q6" s="1"/>
    </row>
    <row r="7" spans="1:17" ht="17.25" thickBot="1" x14ac:dyDescent="0.35">
      <c r="A7" s="1"/>
      <c r="B7" s="5"/>
      <c r="C7" s="6"/>
      <c r="D7" s="6"/>
      <c r="E7" s="10"/>
      <c r="F7" s="9"/>
      <c r="G7" s="9"/>
      <c r="H7" s="9"/>
      <c r="I7" s="9"/>
      <c r="J7" s="9"/>
      <c r="K7" s="9"/>
      <c r="L7" s="9"/>
      <c r="M7" s="6"/>
      <c r="N7" s="6"/>
      <c r="O7" s="6"/>
      <c r="P7" s="8"/>
      <c r="Q7" s="1"/>
    </row>
    <row r="8" spans="1:17" ht="97.5" customHeight="1" thickBot="1" x14ac:dyDescent="0.3">
      <c r="A8" s="1"/>
      <c r="B8" s="5"/>
      <c r="C8" s="6"/>
      <c r="D8" s="6"/>
      <c r="E8" s="6"/>
      <c r="F8" s="6"/>
      <c r="G8" s="6"/>
      <c r="H8" s="6"/>
      <c r="I8" s="302" t="s">
        <v>125</v>
      </c>
      <c r="J8" s="303"/>
      <c r="K8" s="304"/>
      <c r="L8" s="6"/>
      <c r="M8" s="144">
        <f>+AVERAGE(G26,G28,G30,G32,G34)</f>
        <v>0.96333333333333326</v>
      </c>
      <c r="N8" s="11"/>
      <c r="O8" s="11"/>
      <c r="P8" s="8"/>
      <c r="Q8" s="1"/>
    </row>
    <row r="9" spans="1:17" ht="15.75" x14ac:dyDescent="0.25">
      <c r="A9" s="1"/>
      <c r="B9" s="5"/>
      <c r="C9" s="6"/>
      <c r="D9" s="6"/>
      <c r="E9" s="6"/>
      <c r="F9" s="6"/>
      <c r="G9" s="6"/>
      <c r="H9" s="6"/>
      <c r="I9" s="6"/>
      <c r="J9" s="6"/>
      <c r="K9" s="6"/>
      <c r="L9" s="6"/>
      <c r="M9" s="12"/>
      <c r="N9" s="12"/>
      <c r="O9" s="12"/>
      <c r="P9" s="8"/>
      <c r="Q9" s="1"/>
    </row>
    <row r="10" spans="1:17" x14ac:dyDescent="0.25">
      <c r="A10" s="1"/>
      <c r="B10" s="5"/>
      <c r="C10" s="6"/>
      <c r="D10" s="6"/>
      <c r="E10" s="6"/>
      <c r="F10" s="6"/>
      <c r="G10" s="6"/>
      <c r="H10" s="6"/>
      <c r="I10" s="6"/>
      <c r="J10" s="6"/>
      <c r="K10" s="6"/>
      <c r="L10" s="6"/>
      <c r="M10" s="6"/>
      <c r="N10" s="6"/>
      <c r="O10" s="6"/>
      <c r="P10" s="8"/>
      <c r="Q10" s="1"/>
    </row>
    <row r="11" spans="1:17" x14ac:dyDescent="0.25">
      <c r="A11" s="1"/>
      <c r="B11" s="5"/>
      <c r="C11" s="6"/>
      <c r="D11" s="6"/>
      <c r="E11" s="6"/>
      <c r="F11" s="6"/>
      <c r="G11" s="6"/>
      <c r="H11" s="6"/>
      <c r="I11" s="6"/>
      <c r="J11" s="6"/>
      <c r="K11" s="6"/>
      <c r="L11" s="6"/>
      <c r="M11" s="6"/>
      <c r="N11" s="6"/>
      <c r="O11" s="6"/>
      <c r="P11" s="8"/>
      <c r="Q11" s="1"/>
    </row>
    <row r="12" spans="1:17" x14ac:dyDescent="0.25">
      <c r="A12" s="1"/>
      <c r="B12" s="5"/>
      <c r="C12" s="6"/>
      <c r="D12" s="6"/>
      <c r="E12" s="6"/>
      <c r="F12" s="6"/>
      <c r="G12" s="6"/>
      <c r="H12" s="6"/>
      <c r="I12" s="6"/>
      <c r="J12" s="6"/>
      <c r="K12" s="6"/>
      <c r="L12" s="6"/>
      <c r="M12" s="6"/>
      <c r="N12" s="6"/>
      <c r="O12" s="6"/>
      <c r="P12" s="8"/>
      <c r="Q12" s="1"/>
    </row>
    <row r="13" spans="1:17" x14ac:dyDescent="0.25">
      <c r="A13" s="1"/>
      <c r="B13" s="5"/>
      <c r="C13" s="6"/>
      <c r="D13" s="6"/>
      <c r="E13" s="6"/>
      <c r="F13" s="6"/>
      <c r="G13" s="6"/>
      <c r="H13" s="6"/>
      <c r="I13" s="6"/>
      <c r="J13" s="6"/>
      <c r="K13" s="6"/>
      <c r="L13" s="6"/>
      <c r="M13" s="6"/>
      <c r="N13" s="6"/>
      <c r="O13" s="6"/>
      <c r="P13" s="8"/>
      <c r="Q13" s="1"/>
    </row>
    <row r="14" spans="1:17" x14ac:dyDescent="0.25">
      <c r="A14" s="1"/>
      <c r="B14" s="5"/>
      <c r="C14" s="6"/>
      <c r="D14" s="6"/>
      <c r="E14" s="6"/>
      <c r="F14" s="6"/>
      <c r="G14" s="6"/>
      <c r="H14" s="6"/>
      <c r="I14" s="6"/>
      <c r="J14" s="6"/>
      <c r="K14" s="6"/>
      <c r="L14" s="6"/>
      <c r="M14" s="6"/>
      <c r="N14" s="6"/>
      <c r="O14" s="6"/>
      <c r="P14" s="8"/>
      <c r="Q14" s="1"/>
    </row>
    <row r="15" spans="1:17" x14ac:dyDescent="0.25">
      <c r="A15" s="1"/>
      <c r="B15" s="5"/>
      <c r="C15" s="6"/>
      <c r="D15" s="6"/>
      <c r="E15" s="6"/>
      <c r="F15" s="6"/>
      <c r="G15" s="6"/>
      <c r="H15" s="6"/>
      <c r="I15" s="6"/>
      <c r="J15" s="6"/>
      <c r="K15" s="6"/>
      <c r="L15" s="6"/>
      <c r="M15" s="6"/>
      <c r="N15" s="6"/>
      <c r="O15" s="6"/>
      <c r="P15" s="8"/>
      <c r="Q15" s="1"/>
    </row>
    <row r="16" spans="1:17" x14ac:dyDescent="0.25">
      <c r="A16" s="1"/>
      <c r="B16" s="5"/>
      <c r="C16" s="6"/>
      <c r="D16" s="6"/>
      <c r="E16" s="6"/>
      <c r="F16" s="6"/>
      <c r="G16" s="6"/>
      <c r="H16" s="6"/>
      <c r="I16" s="6"/>
      <c r="J16" s="6"/>
      <c r="K16" s="6"/>
      <c r="L16" s="6"/>
      <c r="M16" s="6"/>
      <c r="N16" s="6"/>
      <c r="O16" s="6"/>
      <c r="P16" s="8"/>
      <c r="Q16" s="1"/>
    </row>
    <row r="17" spans="1:17" x14ac:dyDescent="0.25">
      <c r="A17" s="1"/>
      <c r="B17" s="5"/>
      <c r="C17" s="6"/>
      <c r="D17" s="6"/>
      <c r="E17" s="6"/>
      <c r="F17" s="6"/>
      <c r="G17" s="6"/>
      <c r="H17" s="6"/>
      <c r="I17" s="6"/>
      <c r="J17" s="6"/>
      <c r="K17" s="6"/>
      <c r="L17" s="6"/>
      <c r="M17" s="6"/>
      <c r="N17" s="6"/>
      <c r="O17" s="6"/>
      <c r="P17" s="8"/>
      <c r="Q17" s="1"/>
    </row>
    <row r="18" spans="1:17" ht="23.25" x14ac:dyDescent="0.25">
      <c r="A18" s="1"/>
      <c r="B18" s="5"/>
      <c r="C18" s="305" t="s">
        <v>126</v>
      </c>
      <c r="D18" s="306"/>
      <c r="E18" s="306"/>
      <c r="F18" s="306"/>
      <c r="G18" s="306"/>
      <c r="H18" s="306"/>
      <c r="I18" s="306"/>
      <c r="J18" s="306"/>
      <c r="K18" s="306"/>
      <c r="L18" s="306"/>
      <c r="M18" s="307"/>
      <c r="N18" s="13"/>
      <c r="O18" s="13"/>
      <c r="P18" s="8"/>
      <c r="Q18" s="1"/>
    </row>
    <row r="19" spans="1:17" ht="16.5" thickBot="1" x14ac:dyDescent="0.3">
      <c r="A19" s="1"/>
      <c r="B19" s="5"/>
      <c r="C19" s="14"/>
      <c r="D19" s="14"/>
      <c r="E19" s="14"/>
      <c r="F19" s="14"/>
      <c r="G19" s="14"/>
      <c r="H19" s="14"/>
      <c r="I19" s="14"/>
      <c r="J19" s="14"/>
      <c r="K19" s="14"/>
      <c r="L19" s="14"/>
      <c r="M19" s="14"/>
      <c r="N19" s="15"/>
      <c r="O19" s="15"/>
      <c r="P19" s="8"/>
      <c r="Q19" s="1"/>
    </row>
    <row r="20" spans="1:17" ht="75.75" customHeight="1" x14ac:dyDescent="0.25">
      <c r="A20" s="1"/>
      <c r="B20" s="5"/>
      <c r="C20" s="308" t="s">
        <v>127</v>
      </c>
      <c r="D20" s="309"/>
      <c r="E20" s="147" t="s">
        <v>39</v>
      </c>
      <c r="F20" s="310" t="s">
        <v>234</v>
      </c>
      <c r="G20" s="310"/>
      <c r="H20" s="310"/>
      <c r="I20" s="310"/>
      <c r="J20" s="310"/>
      <c r="K20" s="310"/>
      <c r="L20" s="310"/>
      <c r="M20" s="311"/>
      <c r="N20" s="15"/>
      <c r="O20" s="15"/>
      <c r="P20" s="8"/>
      <c r="Q20" s="1"/>
    </row>
    <row r="21" spans="1:17" ht="80.25" customHeight="1" x14ac:dyDescent="0.25">
      <c r="A21" s="1"/>
      <c r="B21" s="5"/>
      <c r="C21" s="292" t="s">
        <v>128</v>
      </c>
      <c r="D21" s="293"/>
      <c r="E21" s="148" t="s">
        <v>39</v>
      </c>
      <c r="F21" s="312" t="s">
        <v>233</v>
      </c>
      <c r="G21" s="312"/>
      <c r="H21" s="312"/>
      <c r="I21" s="312"/>
      <c r="J21" s="312"/>
      <c r="K21" s="312"/>
      <c r="L21" s="312"/>
      <c r="M21" s="313"/>
      <c r="N21" s="15"/>
      <c r="O21" s="15"/>
      <c r="P21" s="8"/>
      <c r="Q21" s="1"/>
    </row>
    <row r="22" spans="1:17" ht="118.5" customHeight="1" thickBot="1" x14ac:dyDescent="0.3">
      <c r="A22" s="1"/>
      <c r="B22" s="5"/>
      <c r="C22" s="294" t="s">
        <v>129</v>
      </c>
      <c r="D22" s="295"/>
      <c r="E22" s="149" t="s">
        <v>39</v>
      </c>
      <c r="F22" s="314" t="s">
        <v>235</v>
      </c>
      <c r="G22" s="314"/>
      <c r="H22" s="314"/>
      <c r="I22" s="314"/>
      <c r="J22" s="314"/>
      <c r="K22" s="314"/>
      <c r="L22" s="314"/>
      <c r="M22" s="315"/>
      <c r="N22" s="15"/>
      <c r="O22" s="15"/>
      <c r="P22" s="8"/>
      <c r="Q22" s="1"/>
    </row>
    <row r="23" spans="1:17" x14ac:dyDescent="0.25">
      <c r="A23" s="1"/>
      <c r="B23" s="5"/>
      <c r="C23" s="6"/>
      <c r="D23" s="6"/>
      <c r="E23" s="6"/>
      <c r="F23" s="6"/>
      <c r="G23" s="16"/>
      <c r="H23" s="6"/>
      <c r="I23" s="6"/>
      <c r="J23" s="6"/>
      <c r="K23" s="6"/>
      <c r="L23" s="6"/>
      <c r="M23" s="6"/>
      <c r="N23" s="6"/>
      <c r="O23" s="6"/>
      <c r="P23" s="8"/>
      <c r="Q23" s="1"/>
    </row>
    <row r="24" spans="1:17" ht="78.75" x14ac:dyDescent="0.25">
      <c r="A24" s="1"/>
      <c r="B24" s="5"/>
      <c r="C24" s="99" t="s">
        <v>130</v>
      </c>
      <c r="D24" s="100"/>
      <c r="E24" s="99" t="s">
        <v>131</v>
      </c>
      <c r="F24" s="100"/>
      <c r="G24" s="99" t="s">
        <v>132</v>
      </c>
      <c r="H24" s="100"/>
      <c r="I24" s="322" t="s">
        <v>133</v>
      </c>
      <c r="J24" s="322"/>
      <c r="K24" s="322"/>
      <c r="L24" s="322"/>
      <c r="M24" s="322"/>
      <c r="N24" s="33"/>
      <c r="O24" s="33"/>
      <c r="P24" s="8"/>
      <c r="Q24" s="17"/>
    </row>
    <row r="25" spans="1:17" ht="13.5" customHeight="1" thickBot="1" x14ac:dyDescent="0.3">
      <c r="A25" s="1"/>
      <c r="B25" s="5"/>
      <c r="C25" s="32"/>
      <c r="D25" s="18"/>
      <c r="E25" s="18"/>
      <c r="F25" s="18"/>
      <c r="G25" s="18"/>
      <c r="H25" s="18"/>
      <c r="I25" s="326"/>
      <c r="J25" s="326"/>
      <c r="K25" s="326"/>
      <c r="L25" s="326"/>
      <c r="M25" s="326"/>
      <c r="N25" s="34"/>
      <c r="O25" s="34"/>
      <c r="P25" s="8"/>
      <c r="Q25" s="1"/>
    </row>
    <row r="26" spans="1:17" ht="155.25" customHeight="1" thickBot="1" x14ac:dyDescent="0.3">
      <c r="A26" s="1"/>
      <c r="B26" s="5"/>
      <c r="C26" s="90" t="s">
        <v>32</v>
      </c>
      <c r="D26" s="19"/>
      <c r="E26" s="145" t="str">
        <f>+IF(Hoja1!K2&gt;=0.5,"Si","No")</f>
        <v>Si</v>
      </c>
      <c r="F26" s="20"/>
      <c r="G26" s="146">
        <f>+Hoja1!K2</f>
        <v>0.91666666666666663</v>
      </c>
      <c r="H26" s="20"/>
      <c r="I26" s="323" t="s">
        <v>236</v>
      </c>
      <c r="J26" s="324"/>
      <c r="K26" s="324"/>
      <c r="L26" s="324"/>
      <c r="M26" s="325"/>
      <c r="N26" s="35"/>
      <c r="O26" s="36"/>
      <c r="P26" s="21"/>
      <c r="Q26" s="22"/>
    </row>
    <row r="27" spans="1:17" ht="27" thickBot="1" x14ac:dyDescent="0.45">
      <c r="A27" s="1"/>
      <c r="B27" s="5"/>
      <c r="C27" s="91"/>
      <c r="D27" s="23"/>
      <c r="E27" s="98"/>
      <c r="F27" s="18"/>
      <c r="G27" s="24"/>
      <c r="H27" s="18"/>
      <c r="I27" s="327"/>
      <c r="J27" s="327"/>
      <c r="K27" s="327"/>
      <c r="L27" s="327"/>
      <c r="M27" s="327"/>
      <c r="N27" s="37"/>
      <c r="O27" s="37"/>
      <c r="P27" s="8"/>
      <c r="Q27" s="1"/>
    </row>
    <row r="28" spans="1:17" ht="111.75" customHeight="1" thickBot="1" x14ac:dyDescent="0.3">
      <c r="A28" s="1"/>
      <c r="B28" s="5"/>
      <c r="C28" s="92" t="s">
        <v>134</v>
      </c>
      <c r="D28" s="19"/>
      <c r="E28" s="145" t="str">
        <f>+IF(Hoja1!K14&gt;=0.5,"Si","No")</f>
        <v>Si</v>
      </c>
      <c r="F28" s="18"/>
      <c r="G28" s="146">
        <f>+Hoja1!K14</f>
        <v>1</v>
      </c>
      <c r="H28" s="18"/>
      <c r="I28" s="319" t="s">
        <v>237</v>
      </c>
      <c r="J28" s="320"/>
      <c r="K28" s="320"/>
      <c r="L28" s="320"/>
      <c r="M28" s="321"/>
      <c r="N28" s="35"/>
      <c r="O28" s="35"/>
      <c r="P28" s="8"/>
      <c r="Q28" s="1"/>
    </row>
    <row r="29" spans="1:17" ht="27" thickBot="1" x14ac:dyDescent="0.45">
      <c r="A29" s="1"/>
      <c r="B29" s="5"/>
      <c r="C29" s="91"/>
      <c r="D29" s="23"/>
      <c r="E29" s="98"/>
      <c r="F29" s="18"/>
      <c r="G29" s="24"/>
      <c r="H29" s="18"/>
      <c r="I29" s="327"/>
      <c r="J29" s="327"/>
      <c r="K29" s="327"/>
      <c r="L29" s="327"/>
      <c r="M29" s="327"/>
      <c r="N29" s="37"/>
      <c r="O29" s="37"/>
      <c r="P29" s="8"/>
      <c r="Q29" s="1"/>
    </row>
    <row r="30" spans="1:17" ht="123" customHeight="1" thickBot="1" x14ac:dyDescent="0.3">
      <c r="A30" s="1"/>
      <c r="B30" s="5"/>
      <c r="C30" s="93" t="s">
        <v>135</v>
      </c>
      <c r="D30" s="19"/>
      <c r="E30" s="145" t="str">
        <f>+IF(Hoja1!K24&gt;=0.5,"Si","No")</f>
        <v>Si</v>
      </c>
      <c r="F30" s="18"/>
      <c r="G30" s="146">
        <f>+Hoja1!K24</f>
        <v>1</v>
      </c>
      <c r="H30" s="18"/>
      <c r="I30" s="316" t="s">
        <v>238</v>
      </c>
      <c r="J30" s="317"/>
      <c r="K30" s="317"/>
      <c r="L30" s="317"/>
      <c r="M30" s="318"/>
      <c r="N30" s="35"/>
      <c r="O30" s="35"/>
      <c r="P30" s="8"/>
      <c r="Q30" s="1"/>
    </row>
    <row r="31" spans="1:17" ht="27" thickBot="1" x14ac:dyDescent="0.45">
      <c r="A31" s="1"/>
      <c r="B31" s="5"/>
      <c r="C31" s="91"/>
      <c r="D31" s="23"/>
      <c r="E31" s="98"/>
      <c r="F31" s="18"/>
      <c r="G31" s="24"/>
      <c r="H31" s="18"/>
      <c r="I31" s="327"/>
      <c r="J31" s="327"/>
      <c r="K31" s="327"/>
      <c r="L31" s="327"/>
      <c r="M31" s="327"/>
      <c r="N31" s="37"/>
      <c r="O31" s="37"/>
      <c r="P31" s="8"/>
      <c r="Q31" s="1"/>
    </row>
    <row r="32" spans="1:17" ht="171" customHeight="1" thickBot="1" x14ac:dyDescent="0.3">
      <c r="A32" s="1"/>
      <c r="B32" s="5"/>
      <c r="C32" s="94" t="s">
        <v>86</v>
      </c>
      <c r="D32" s="19"/>
      <c r="E32" s="145" t="str">
        <f>+IF(Hoja1!K29&gt;=0.5,"Si","No")</f>
        <v>Si</v>
      </c>
      <c r="F32" s="18"/>
      <c r="G32" s="146">
        <f>+Hoja1!K29</f>
        <v>1</v>
      </c>
      <c r="H32" s="18"/>
      <c r="I32" s="319" t="s">
        <v>239</v>
      </c>
      <c r="J32" s="320"/>
      <c r="K32" s="320"/>
      <c r="L32" s="320"/>
      <c r="M32" s="321"/>
      <c r="N32" s="35"/>
      <c r="O32" s="35"/>
      <c r="P32" s="8"/>
      <c r="Q32" s="1"/>
    </row>
    <row r="33" spans="1:17" ht="27" thickBot="1" x14ac:dyDescent="0.45">
      <c r="A33" s="1"/>
      <c r="B33" s="5"/>
      <c r="C33" s="91"/>
      <c r="D33" s="23"/>
      <c r="E33" s="98"/>
      <c r="F33" s="18"/>
      <c r="G33" s="24"/>
      <c r="H33" s="18"/>
      <c r="I33" s="327"/>
      <c r="J33" s="327"/>
      <c r="K33" s="327"/>
      <c r="L33" s="327"/>
      <c r="M33" s="327"/>
      <c r="N33" s="37"/>
      <c r="O33" s="37"/>
      <c r="P33" s="8"/>
      <c r="Q33" s="1"/>
    </row>
    <row r="34" spans="1:17" ht="164.25" customHeight="1" thickBot="1" x14ac:dyDescent="0.3">
      <c r="A34" s="1"/>
      <c r="B34" s="5"/>
      <c r="C34" s="95" t="s">
        <v>136</v>
      </c>
      <c r="D34" s="19"/>
      <c r="E34" s="97" t="str">
        <f>+IF(Hoja1!K36&gt;=0.5,"Si","No")</f>
        <v>Si</v>
      </c>
      <c r="F34" s="18"/>
      <c r="G34" s="146">
        <f>+Hoja1!K36</f>
        <v>0.9</v>
      </c>
      <c r="H34" s="18"/>
      <c r="I34" s="316" t="s">
        <v>240</v>
      </c>
      <c r="J34" s="317"/>
      <c r="K34" s="317"/>
      <c r="L34" s="317"/>
      <c r="M34" s="318"/>
      <c r="N34" s="35"/>
      <c r="O34" s="35"/>
      <c r="P34" s="8"/>
      <c r="Q34" s="1"/>
    </row>
    <row r="35" spans="1:17" ht="15.75" x14ac:dyDescent="0.25">
      <c r="A35" s="1"/>
      <c r="B35" s="5"/>
      <c r="C35" s="25"/>
      <c r="D35" s="25"/>
      <c r="E35" s="15"/>
      <c r="F35" s="6"/>
      <c r="G35" s="6"/>
      <c r="H35" s="6"/>
      <c r="I35" s="6"/>
      <c r="J35" s="6"/>
      <c r="K35" s="6"/>
      <c r="L35" s="6"/>
      <c r="M35" s="26"/>
      <c r="N35" s="26"/>
      <c r="O35" s="26"/>
      <c r="P35" s="8"/>
      <c r="Q35" s="1"/>
    </row>
    <row r="36" spans="1:17" ht="15.75" x14ac:dyDescent="0.25">
      <c r="A36" s="1"/>
      <c r="B36" s="5"/>
      <c r="C36" s="27"/>
      <c r="D36" s="25"/>
      <c r="E36" s="15"/>
      <c r="F36" s="6"/>
      <c r="G36" s="6"/>
      <c r="H36" s="6"/>
      <c r="I36" s="6"/>
      <c r="J36" s="6"/>
      <c r="K36" s="6"/>
      <c r="L36" s="6"/>
      <c r="M36" s="26"/>
      <c r="N36" s="26"/>
      <c r="O36" s="26"/>
      <c r="P36" s="8"/>
      <c r="Q36" s="1"/>
    </row>
    <row r="37" spans="1:17" x14ac:dyDescent="0.25">
      <c r="A37" s="1"/>
      <c r="B37" s="5"/>
      <c r="C37" s="28"/>
      <c r="D37" s="6"/>
      <c r="E37" s="6"/>
      <c r="F37" s="6"/>
      <c r="G37" s="6"/>
      <c r="H37" s="6"/>
      <c r="I37" s="6"/>
      <c r="J37" s="6"/>
      <c r="K37" s="6"/>
      <c r="L37" s="6"/>
      <c r="M37" s="6"/>
      <c r="N37" s="6"/>
      <c r="O37" s="6"/>
      <c r="P37" s="8"/>
      <c r="Q37" s="1"/>
    </row>
    <row r="38" spans="1:17" ht="15.75" thickBot="1" x14ac:dyDescent="0.3">
      <c r="A38" s="1"/>
      <c r="B38" s="29"/>
      <c r="C38" s="30"/>
      <c r="D38" s="30"/>
      <c r="E38" s="30"/>
      <c r="F38" s="30"/>
      <c r="G38" s="30"/>
      <c r="H38" s="30"/>
      <c r="I38" s="30"/>
      <c r="J38" s="30"/>
      <c r="K38" s="30"/>
      <c r="L38" s="30"/>
      <c r="M38" s="30"/>
      <c r="N38" s="30"/>
      <c r="O38" s="30"/>
      <c r="P38" s="31"/>
      <c r="Q38" s="1"/>
    </row>
    <row r="39" spans="1:17" ht="15.75" thickTop="1" x14ac:dyDescent="0.25">
      <c r="A39" s="1"/>
      <c r="B39" s="1"/>
      <c r="C39" s="1"/>
      <c r="D39" s="1"/>
      <c r="E39" s="1"/>
      <c r="F39" s="1"/>
      <c r="G39" s="1"/>
      <c r="H39" s="1"/>
      <c r="I39" s="1"/>
      <c r="J39" s="1"/>
      <c r="K39" s="1"/>
      <c r="L39" s="1"/>
      <c r="M39" s="1"/>
      <c r="N39" s="1"/>
      <c r="O39" s="1"/>
      <c r="P39" s="1"/>
      <c r="Q39" s="1"/>
    </row>
    <row r="40" spans="1:17" x14ac:dyDescent="0.25">
      <c r="A40" s="1"/>
      <c r="B40" s="1"/>
      <c r="C40" s="1"/>
      <c r="D40" s="1"/>
      <c r="E40" s="1"/>
      <c r="F40" s="1"/>
      <c r="G40" s="1"/>
      <c r="H40" s="1"/>
      <c r="I40" s="1"/>
      <c r="J40" s="1"/>
      <c r="K40" s="1"/>
      <c r="L40" s="1"/>
      <c r="M40" s="1"/>
      <c r="N40" s="1"/>
      <c r="O40" s="1"/>
      <c r="P40" s="1"/>
      <c r="Q40" s="1"/>
    </row>
    <row r="41" spans="1:17" x14ac:dyDescent="0.25">
      <c r="A41" s="1"/>
      <c r="B41" s="1"/>
      <c r="C41" s="1"/>
      <c r="D41" s="1"/>
      <c r="E41" s="1"/>
      <c r="F41" s="1"/>
      <c r="G41" s="1"/>
      <c r="H41" s="1"/>
      <c r="I41" s="1"/>
      <c r="J41" s="1"/>
      <c r="K41" s="1"/>
      <c r="L41" s="1"/>
      <c r="M41" s="1"/>
      <c r="N41" s="1"/>
      <c r="O41" s="1"/>
      <c r="P41" s="1"/>
      <c r="Q41" s="1"/>
    </row>
  </sheetData>
  <sheetProtection algorithmName="SHA-512" hashValue="mur5Q3PEaZxn8LXLz/eSymodHMyMcb7gr8gXWBwpSU/m7uV0ZPVWkcKOdJlg0OS/SXBXX9P/iBb2vTO1mWy68A==" saltValue="abZlHLcGIMQMz4F8z7vkTw==" spinCount="100000" sheet="1" objects="1" scenarios="1" formatCells="0" formatRows="0"/>
  <mergeCells count="22">
    <mergeCell ref="I34:M34"/>
    <mergeCell ref="I30:M30"/>
    <mergeCell ref="I32:M32"/>
    <mergeCell ref="I24:M24"/>
    <mergeCell ref="I26:M26"/>
    <mergeCell ref="I28:M28"/>
    <mergeCell ref="I25:M25"/>
    <mergeCell ref="I27:M27"/>
    <mergeCell ref="I29:M29"/>
    <mergeCell ref="I31:M31"/>
    <mergeCell ref="I33:M33"/>
    <mergeCell ref="C21:D21"/>
    <mergeCell ref="C22:D22"/>
    <mergeCell ref="E4:E5"/>
    <mergeCell ref="F4:M5"/>
    <mergeCell ref="F6:M6"/>
    <mergeCell ref="I8:K8"/>
    <mergeCell ref="C18:M18"/>
    <mergeCell ref="C20:D20"/>
    <mergeCell ref="F20:M20"/>
    <mergeCell ref="F21:M21"/>
    <mergeCell ref="F22:M22"/>
  </mergeCells>
  <conditionalFormatting sqref="G26 G28 G30 G32 G34">
    <cfRule type="cellIs" priority="4" operator="between">
      <formula>0.75</formula>
      <formula>1</formula>
    </cfRule>
    <cfRule type="cellIs" dxfId="11" priority="5" operator="between">
      <formula>0.5</formula>
      <formula>0.75</formula>
    </cfRule>
    <cfRule type="cellIs" dxfId="10" priority="6" operator="between">
      <formula>0</formula>
      <formula>0.49</formula>
    </cfRule>
    <cfRule type="cellIs" dxfId="9" priority="31" operator="between">
      <formula>0.76</formula>
      <formula>1</formula>
    </cfRule>
    <cfRule type="cellIs" dxfId="8" priority="32" operator="between">
      <formula>0.51</formula>
      <formula>0.75</formula>
    </cfRule>
    <cfRule type="cellIs" dxfId="7" priority="33" operator="between">
      <formula>0.26</formula>
      <formula>0.5</formula>
    </cfRule>
  </conditionalFormatting>
  <conditionalFormatting sqref="M8">
    <cfRule type="cellIs" dxfId="6" priority="1" operator="between">
      <formula>0.75</formula>
      <formula>1</formula>
    </cfRule>
    <cfRule type="cellIs" dxfId="5" priority="2" operator="between">
      <formula>0.5</formula>
      <formula>0.75</formula>
    </cfRule>
    <cfRule type="cellIs" dxfId="4" priority="3" operator="between">
      <formula>0</formula>
      <formula>0.49</formula>
    </cfRule>
    <cfRule type="cellIs" priority="27" operator="between">
      <formula>0.76</formula>
      <formula>1</formula>
    </cfRule>
    <cfRule type="cellIs" dxfId="3" priority="28" operator="between">
      <formula>0.51</formula>
      <formula>0.75</formula>
    </cfRule>
    <cfRule type="cellIs" dxfId="2" priority="29" operator="between">
      <formula>0.26</formula>
      <formula>0.5</formula>
    </cfRule>
    <cfRule type="cellIs" dxfId="1" priority="30" operator="between">
      <formula>0</formula>
      <formula>0.25</formula>
    </cfRule>
  </conditionalFormatting>
  <dataValidations count="3">
    <dataValidation type="list" allowBlank="1" showInputMessage="1" showErrorMessage="1" sqref="E21:E22">
      <formula1>"Si, No"</formula1>
    </dataValidation>
    <dataValidation allowBlank="1" showInputMessage="1" showErrorMessage="1" prompt="Celda formulada, información proveniente de la pestaña de deficiencias." sqref="E24"/>
    <dataValidation type="list" allowBlank="1" showInputMessage="1" showErrorMessage="1" sqref="E20">
      <formula1>"Si,En proceso,No"</formula1>
    </dataValidation>
  </dataValidations>
  <pageMargins left="0.7" right="0.7" top="0.75" bottom="0.75" header="0.3" footer="0.3"/>
  <pageSetup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34" operator="between" id="{7ADAD4B9-72C7-4518-BD8A-A7D8DD349CD9}">
            <xm:f>0</xm:f>
            <xm:f>'C:\Users\dell\Desktop\cesar\HISTORICOS\[2020-04-22_Formato_informe_sci_parametrizado_final.xlsx]Analisis de Resultados'!#REF!</xm:f>
            <x14:dxf>
              <fill>
                <patternFill>
                  <bgColor rgb="FFFF0000"/>
                </patternFill>
              </fill>
            </x14:dxf>
          </x14:cfRule>
          <xm:sqref>G26 G28 G30 G32 G34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workbookViewId="0">
      <selection activeCell="F2" sqref="F2"/>
    </sheetView>
  </sheetViews>
  <sheetFormatPr baseColWidth="10" defaultColWidth="11.42578125" defaultRowHeight="15" x14ac:dyDescent="0.25"/>
  <cols>
    <col min="2" max="2" width="31" bestFit="1" customWidth="1"/>
    <col min="3" max="3" width="17.140625" customWidth="1"/>
    <col min="5" max="5" width="15.140625" customWidth="1"/>
    <col min="10" max="10" width="15.7109375" customWidth="1"/>
    <col min="11" max="11" width="12" bestFit="1" customWidth="1"/>
  </cols>
  <sheetData>
    <row r="1" spans="1:11" ht="84.75" customHeight="1" x14ac:dyDescent="0.25">
      <c r="A1" s="150" t="s">
        <v>25</v>
      </c>
      <c r="B1" s="150" t="s">
        <v>6</v>
      </c>
      <c r="C1" s="151" t="s">
        <v>8</v>
      </c>
      <c r="D1" s="152" t="s">
        <v>26</v>
      </c>
      <c r="E1" s="152" t="s">
        <v>27</v>
      </c>
      <c r="F1" s="152" t="s">
        <v>137</v>
      </c>
      <c r="G1" s="153" t="s">
        <v>138</v>
      </c>
      <c r="H1" s="153" t="s">
        <v>139</v>
      </c>
      <c r="I1" s="153" t="s">
        <v>118</v>
      </c>
      <c r="J1" s="153" t="s">
        <v>140</v>
      </c>
      <c r="K1" s="153" t="s">
        <v>141</v>
      </c>
    </row>
    <row r="2" spans="1:11" x14ac:dyDescent="0.25">
      <c r="A2" s="154" t="s">
        <v>142</v>
      </c>
      <c r="B2" s="154" t="str">
        <f>+VLOOKUP(A2,'Estado SCI'!$A$16:$C$59,3,0)</f>
        <v>AMBIENTE DE CONTROL</v>
      </c>
      <c r="C2" s="154" t="s">
        <v>33</v>
      </c>
      <c r="D2" s="154" t="s">
        <v>34</v>
      </c>
      <c r="E2" s="154" t="s">
        <v>35</v>
      </c>
      <c r="F2" s="154" t="str">
        <f>+VLOOKUP(A2,'Estado SCI'!$A$16:$I$59,9,0)</f>
        <v>Mantenimiento del control</v>
      </c>
      <c r="G2" s="154">
        <f>+VLOOKUP(A2,'Estado SCI'!$A$16:$L$59,12,0)</f>
        <v>20.123000000000001</v>
      </c>
      <c r="H2" s="154">
        <f t="shared" ref="H2:H45" si="0">+_xlfn.RANK.EQ(G2,$G$2:$G$45,1)</f>
        <v>2</v>
      </c>
      <c r="I2" s="154" t="str">
        <f>+IF(VLOOKUP(A2,'Estado SCI'!$A$16:$G$59,7,0)="","",VLOOKUP(A2,'Estado SCI'!$A$16:$G$59,7,0))</f>
        <v>Si</v>
      </c>
      <c r="J2" s="155">
        <f>+IF(I2="Si",1,IF(I2="En proceso",0.5,0))</f>
        <v>1</v>
      </c>
      <c r="K2" s="156">
        <f t="shared" ref="K2:K45" si="1">+AVERAGEIF($B$2:$B$45,B2,$J$2:$J$45)</f>
        <v>0.91666666666666663</v>
      </c>
    </row>
    <row r="3" spans="1:11" x14ac:dyDescent="0.25">
      <c r="A3" s="154" t="s">
        <v>143</v>
      </c>
      <c r="B3" s="154" t="s">
        <v>32</v>
      </c>
      <c r="C3" s="154" t="s">
        <v>33</v>
      </c>
      <c r="D3" s="154" t="s">
        <v>37</v>
      </c>
      <c r="E3" s="154" t="s">
        <v>38</v>
      </c>
      <c r="F3" s="154" t="str">
        <f>+VLOOKUP(A3,'Estado SCI'!$A$16:$I$59,9,0)</f>
        <v>Mantenimiento del control</v>
      </c>
      <c r="G3" s="154">
        <f>+VLOOKUP(A3,'Estado SCI'!$A$16:$L$59,12,0)</f>
        <v>20.1234</v>
      </c>
      <c r="H3" s="154">
        <f t="shared" si="0"/>
        <v>3</v>
      </c>
      <c r="I3" s="154" t="str">
        <f>+IF(VLOOKUP(A3,'Estado SCI'!$A$16:$G$59,7,0)="","",VLOOKUP(A3,'Estado SCI'!$A$16:$G$59,7,0))</f>
        <v>Si</v>
      </c>
      <c r="J3" s="155">
        <f t="shared" ref="J3:J45" si="2">+IF(I3="Si",1,IF(I3="En proceso",0.5,0))</f>
        <v>1</v>
      </c>
      <c r="K3" s="156">
        <f t="shared" si="1"/>
        <v>0.91666666666666663</v>
      </c>
    </row>
    <row r="4" spans="1:11" x14ac:dyDescent="0.25">
      <c r="A4" s="154" t="s">
        <v>144</v>
      </c>
      <c r="B4" s="154" t="s">
        <v>32</v>
      </c>
      <c r="C4" s="154" t="s">
        <v>33</v>
      </c>
      <c r="D4" s="154" t="s">
        <v>40</v>
      </c>
      <c r="E4" s="154" t="s">
        <v>41</v>
      </c>
      <c r="F4" s="154" t="str">
        <f>+VLOOKUP(A4,'Estado SCI'!$A$16:$I$59,9,0)</f>
        <v>Mantenimiento del control</v>
      </c>
      <c r="G4" s="154">
        <f>+VLOOKUP(A4,'Estado SCI'!$A$16:$L$59,12,0)</f>
        <v>20.123449999999998</v>
      </c>
      <c r="H4" s="154">
        <f t="shared" si="0"/>
        <v>4</v>
      </c>
      <c r="I4" s="154" t="str">
        <f>+IF(VLOOKUP(A4,'Estado SCI'!$A$16:$G$59,7,0)="","",VLOOKUP(A4,'Estado SCI'!$A$16:$G$59,7,0))</f>
        <v>Si</v>
      </c>
      <c r="J4" s="155">
        <f t="shared" si="2"/>
        <v>1</v>
      </c>
      <c r="K4" s="156">
        <f t="shared" si="1"/>
        <v>0.91666666666666663</v>
      </c>
    </row>
    <row r="5" spans="1:11" x14ac:dyDescent="0.25">
      <c r="A5" s="154" t="s">
        <v>145</v>
      </c>
      <c r="B5" s="154" t="s">
        <v>32</v>
      </c>
      <c r="C5" s="154" t="s">
        <v>33</v>
      </c>
      <c r="D5" s="154" t="s">
        <v>42</v>
      </c>
      <c r="E5" s="154" t="s">
        <v>43</v>
      </c>
      <c r="F5" s="154" t="str">
        <f>+VLOOKUP(A5,'Estado SCI'!$A$16:$I$59,9,0)</f>
        <v>Mantenimiento del control</v>
      </c>
      <c r="G5" s="154">
        <f>+VLOOKUP(A5,'Estado SCI'!$A$16:$L$59,12,0)</f>
        <v>20.123456000000001</v>
      </c>
      <c r="H5" s="154">
        <f t="shared" si="0"/>
        <v>5</v>
      </c>
      <c r="I5" s="154" t="str">
        <f>+IF(VLOOKUP(A5,'Estado SCI'!$A$16:$G$59,7,0)="","",VLOOKUP(A5,'Estado SCI'!$A$16:$G$59,7,0))</f>
        <v>Si</v>
      </c>
      <c r="J5" s="155">
        <f t="shared" si="2"/>
        <v>1</v>
      </c>
      <c r="K5" s="156">
        <f t="shared" si="1"/>
        <v>0.91666666666666663</v>
      </c>
    </row>
    <row r="6" spans="1:11" x14ac:dyDescent="0.25">
      <c r="A6" s="154" t="s">
        <v>146</v>
      </c>
      <c r="B6" s="154" t="s">
        <v>32</v>
      </c>
      <c r="C6" s="154" t="s">
        <v>33</v>
      </c>
      <c r="D6" s="154" t="s">
        <v>44</v>
      </c>
      <c r="E6" s="154" t="s">
        <v>45</v>
      </c>
      <c r="F6" s="154" t="str">
        <f>+VLOOKUP(A6,'Estado SCI'!$A$16:$I$59,9,0)</f>
        <v>Mantenimiento del control</v>
      </c>
      <c r="G6" s="154">
        <f>+VLOOKUP(A6,'Estado SCI'!$A$16:$L$59,12,0)</f>
        <v>20.123456780000001</v>
      </c>
      <c r="H6" s="154">
        <f t="shared" si="0"/>
        <v>6</v>
      </c>
      <c r="I6" s="154" t="str">
        <f>+IF(VLOOKUP(A6,'Estado SCI'!$A$16:$G$59,7,0)="","",VLOOKUP(A6,'Estado SCI'!$A$16:$G$59,7,0))</f>
        <v>Si</v>
      </c>
      <c r="J6" s="155">
        <f t="shared" si="2"/>
        <v>1</v>
      </c>
      <c r="K6" s="156">
        <f t="shared" si="1"/>
        <v>0.91666666666666663</v>
      </c>
    </row>
    <row r="7" spans="1:11" x14ac:dyDescent="0.25">
      <c r="A7" s="154" t="s">
        <v>147</v>
      </c>
      <c r="B7" s="154" t="s">
        <v>32</v>
      </c>
      <c r="C7" s="154" t="s">
        <v>33</v>
      </c>
      <c r="D7" s="154" t="s">
        <v>46</v>
      </c>
      <c r="E7" s="154" t="s">
        <v>47</v>
      </c>
      <c r="F7" s="154" t="str">
        <f>+VLOOKUP(A7,'Estado SCI'!$A$16:$I$59,9,0)</f>
        <v>Mantenimiento del control</v>
      </c>
      <c r="G7" s="154">
        <f>+VLOOKUP(A7,'Estado SCI'!$A$16:$L$59,12,0)</f>
        <v>20.123456788999999</v>
      </c>
      <c r="H7" s="154">
        <f t="shared" si="0"/>
        <v>7</v>
      </c>
      <c r="I7" s="154" t="str">
        <f>+IF(VLOOKUP(A7,'Estado SCI'!$A$16:$G$59,7,0)="","",VLOOKUP(A7,'Estado SCI'!$A$16:$G$59,7,0))</f>
        <v>Si</v>
      </c>
      <c r="J7" s="155">
        <f t="shared" si="2"/>
        <v>1</v>
      </c>
      <c r="K7" s="156">
        <f t="shared" si="1"/>
        <v>0.91666666666666663</v>
      </c>
    </row>
    <row r="8" spans="1:11" x14ac:dyDescent="0.25">
      <c r="A8" s="154" t="s">
        <v>148</v>
      </c>
      <c r="B8" s="154" t="s">
        <v>32</v>
      </c>
      <c r="C8" s="154" t="s">
        <v>33</v>
      </c>
      <c r="D8" s="154" t="s">
        <v>48</v>
      </c>
      <c r="E8" s="154" t="s">
        <v>49</v>
      </c>
      <c r="F8" s="154" t="str">
        <f>+VLOOKUP(A8,'Estado SCI'!$A$16:$I$59,9,0)</f>
        <v>Mantenimiento del control</v>
      </c>
      <c r="G8" s="154">
        <f>+VLOOKUP(A8,'Estado SCI'!$A$16:$L$59,12,0)</f>
        <v>20.1234567891</v>
      </c>
      <c r="H8" s="154">
        <f t="shared" si="0"/>
        <v>8</v>
      </c>
      <c r="I8" s="154" t="str">
        <f>+IF(VLOOKUP(A8,'Estado SCI'!$A$16:$G$59,7,0)="","",VLOOKUP(A8,'Estado SCI'!$A$16:$G$59,7,0))</f>
        <v>Si</v>
      </c>
      <c r="J8" s="155">
        <f t="shared" si="2"/>
        <v>1</v>
      </c>
      <c r="K8" s="156">
        <f t="shared" si="1"/>
        <v>0.91666666666666663</v>
      </c>
    </row>
    <row r="9" spans="1:11" x14ac:dyDescent="0.25">
      <c r="A9" s="154" t="s">
        <v>149</v>
      </c>
      <c r="B9" s="154" t="s">
        <v>32</v>
      </c>
      <c r="C9" s="154" t="s">
        <v>33</v>
      </c>
      <c r="D9" s="154" t="s">
        <v>50</v>
      </c>
      <c r="E9" s="154" t="s">
        <v>51</v>
      </c>
      <c r="F9" s="154" t="str">
        <f>+VLOOKUP(A9,'Estado SCI'!$A$16:$I$59,9,0)</f>
        <v>Mantenimiento del control</v>
      </c>
      <c r="G9" s="154">
        <f>+VLOOKUP(A9,'Estado SCI'!$A$16:$L$59,12,0)</f>
        <v>20.123456789119999</v>
      </c>
      <c r="H9" s="154">
        <f t="shared" si="0"/>
        <v>9</v>
      </c>
      <c r="I9" s="154" t="str">
        <f>+IF(VLOOKUP(A9,'Estado SCI'!$A$16:$G$59,7,0)="","",VLOOKUP(A9,'Estado SCI'!$A$16:$G$59,7,0))</f>
        <v>Si</v>
      </c>
      <c r="J9" s="155">
        <f t="shared" si="2"/>
        <v>1</v>
      </c>
      <c r="K9" s="156">
        <f t="shared" si="1"/>
        <v>0.91666666666666663</v>
      </c>
    </row>
    <row r="10" spans="1:11" x14ac:dyDescent="0.25">
      <c r="A10" s="154" t="s">
        <v>150</v>
      </c>
      <c r="B10" s="154" t="s">
        <v>32</v>
      </c>
      <c r="C10" s="154" t="s">
        <v>33</v>
      </c>
      <c r="D10" s="154" t="s">
        <v>52</v>
      </c>
      <c r="E10" s="154" t="s">
        <v>53</v>
      </c>
      <c r="F10" s="154" t="str">
        <f>+VLOOKUP(A10,'Estado SCI'!$A$16:$I$59,9,0)</f>
        <v>Deficiencia de control</v>
      </c>
      <c r="G10" s="154">
        <f>+VLOOKUP(A10,'Estado SCI'!$A$16:$L$59,12,0)</f>
        <v>0.123456789123</v>
      </c>
      <c r="H10" s="154">
        <f t="shared" si="0"/>
        <v>1</v>
      </c>
      <c r="I10" s="154" t="str">
        <f>+IF(VLOOKUP(A10,'Estado SCI'!$A$16:$G$59,7,0)="","",VLOOKUP(A10,'Estado SCI'!$A$16:$G$59,7,0))</f>
        <v>No</v>
      </c>
      <c r="J10" s="155">
        <f t="shared" si="2"/>
        <v>0</v>
      </c>
      <c r="K10" s="156">
        <f t="shared" si="1"/>
        <v>0.91666666666666663</v>
      </c>
    </row>
    <row r="11" spans="1:11" x14ac:dyDescent="0.25">
      <c r="A11" s="154" t="s">
        <v>151</v>
      </c>
      <c r="B11" s="154" t="s">
        <v>32</v>
      </c>
      <c r="C11" s="154" t="s">
        <v>33</v>
      </c>
      <c r="D11" s="154" t="s">
        <v>54</v>
      </c>
      <c r="E11" s="154" t="s">
        <v>55</v>
      </c>
      <c r="F11" s="154" t="str">
        <f>+VLOOKUP(A11,'Estado SCI'!$A$16:$I$59,9,0)</f>
        <v>Mantenimiento del control</v>
      </c>
      <c r="G11" s="154">
        <f>+VLOOKUP(A11,'Estado SCI'!$A$16:$L$59,12,0)</f>
        <v>20.123456789123399</v>
      </c>
      <c r="H11" s="154">
        <f t="shared" si="0"/>
        <v>10</v>
      </c>
      <c r="I11" s="154" t="str">
        <f>+IF(VLOOKUP(A11,'Estado SCI'!$A$16:$G$59,7,0)="","",VLOOKUP(A11,'Estado SCI'!$A$16:$G$59,7,0))</f>
        <v>Si</v>
      </c>
      <c r="J11" s="155">
        <f t="shared" si="2"/>
        <v>1</v>
      </c>
      <c r="K11" s="156">
        <f t="shared" si="1"/>
        <v>0.91666666666666663</v>
      </c>
    </row>
    <row r="12" spans="1:11" x14ac:dyDescent="0.25">
      <c r="A12" s="154" t="s">
        <v>152</v>
      </c>
      <c r="B12" s="154" t="s">
        <v>32</v>
      </c>
      <c r="C12" s="154" t="s">
        <v>33</v>
      </c>
      <c r="D12" s="154" t="s">
        <v>56</v>
      </c>
      <c r="E12" s="154" t="s">
        <v>57</v>
      </c>
      <c r="F12" s="154" t="str">
        <f>+VLOOKUP(A12,'Estado SCI'!$A$16:$I$59,9,0)</f>
        <v>Mantenimiento del control</v>
      </c>
      <c r="G12" s="154">
        <f>+VLOOKUP(A12,'Estado SCI'!$A$16:$L$59,12,0)</f>
        <v>20.123456789123448</v>
      </c>
      <c r="H12" s="154">
        <f t="shared" si="0"/>
        <v>11</v>
      </c>
      <c r="I12" s="154" t="str">
        <f>+IF(VLOOKUP(A12,'Estado SCI'!$A$16:$G$59,7,0)="","",VLOOKUP(A12,'Estado SCI'!$A$16:$G$59,7,0))</f>
        <v>Si</v>
      </c>
      <c r="J12" s="155">
        <f t="shared" si="2"/>
        <v>1</v>
      </c>
      <c r="K12" s="156">
        <f t="shared" si="1"/>
        <v>0.91666666666666663</v>
      </c>
    </row>
    <row r="13" spans="1:11" x14ac:dyDescent="0.25">
      <c r="A13" s="154" t="s">
        <v>153</v>
      </c>
      <c r="B13" s="154" t="s">
        <v>32</v>
      </c>
      <c r="C13" s="154" t="s">
        <v>33</v>
      </c>
      <c r="D13" s="154" t="s">
        <v>58</v>
      </c>
      <c r="E13" s="154" t="s">
        <v>59</v>
      </c>
      <c r="F13" s="154" t="str">
        <f>+VLOOKUP(A13,'Estado SCI'!$A$16:$I$59,9,0)</f>
        <v>Mantenimiento del control</v>
      </c>
      <c r="G13" s="154">
        <f>+VLOOKUP(A13,'Estado SCI'!$A$16:$L$59,12,0)</f>
        <v>20.123456789123455</v>
      </c>
      <c r="H13" s="154">
        <f t="shared" si="0"/>
        <v>12</v>
      </c>
      <c r="I13" s="154" t="str">
        <f>+IF(VLOOKUP(A13,'Estado SCI'!$A$16:$G$59,7,0)="","",VLOOKUP(A13,'Estado SCI'!$A$16:$G$59,7,0))</f>
        <v>Si</v>
      </c>
      <c r="J13" s="155">
        <f t="shared" si="2"/>
        <v>1</v>
      </c>
      <c r="K13" s="156">
        <f t="shared" si="1"/>
        <v>0.91666666666666663</v>
      </c>
    </row>
    <row r="14" spans="1:11" ht="15" customHeight="1" x14ac:dyDescent="0.25">
      <c r="A14" s="154" t="s">
        <v>154</v>
      </c>
      <c r="B14" s="154" t="str">
        <f>+VLOOKUP(A14,'Estado SCI'!$A$16:$C$59,3,0)</f>
        <v>EVALUACION DEL RIESGO</v>
      </c>
      <c r="C14" s="154" t="s">
        <v>62</v>
      </c>
      <c r="D14" s="154" t="s">
        <v>34</v>
      </c>
      <c r="E14" s="154" t="s">
        <v>155</v>
      </c>
      <c r="F14" s="154" t="str">
        <f>+VLOOKUP(A14,'Estado SCI'!$A$16:$I$59,9,0)</f>
        <v>Mantenimiento del control</v>
      </c>
      <c r="G14" s="154">
        <f>+VLOOKUP(A14,'Estado SCI'!$A$16:$L$59,12,0)</f>
        <v>40.229999999999997</v>
      </c>
      <c r="H14" s="154">
        <f t="shared" si="0"/>
        <v>13</v>
      </c>
      <c r="I14" s="154" t="str">
        <f>+IF(VLOOKUP(A14,'Estado SCI'!$A$16:$G$59,7,0)="","",VLOOKUP(A14,'Estado SCI'!$A$16:$G$59,7,0))</f>
        <v>Si</v>
      </c>
      <c r="J14" s="155">
        <f t="shared" si="2"/>
        <v>1</v>
      </c>
      <c r="K14" s="156">
        <f t="shared" si="1"/>
        <v>1</v>
      </c>
    </row>
    <row r="15" spans="1:11" ht="15" customHeight="1" x14ac:dyDescent="0.25">
      <c r="A15" s="154" t="s">
        <v>156</v>
      </c>
      <c r="B15" s="154" t="s">
        <v>61</v>
      </c>
      <c r="C15" s="154" t="s">
        <v>62</v>
      </c>
      <c r="D15" s="154" t="s">
        <v>37</v>
      </c>
      <c r="E15" s="154" t="s">
        <v>157</v>
      </c>
      <c r="F15" s="154" t="str">
        <f>+VLOOKUP(A15,'Estado SCI'!$A$16:$I$59,9,0)</f>
        <v>Mantenimiento del control</v>
      </c>
      <c r="G15" s="154">
        <f>+VLOOKUP(A15,'Estado SCI'!$A$16:$L$59,12,0)</f>
        <v>40.234000000000002</v>
      </c>
      <c r="H15" s="154">
        <f t="shared" si="0"/>
        <v>14</v>
      </c>
      <c r="I15" s="154" t="str">
        <f>+IF(VLOOKUP(A15,'Estado SCI'!$A$16:$G$59,7,0)="","",VLOOKUP(A15,'Estado SCI'!$A$16:$G$59,7,0))</f>
        <v>Si</v>
      </c>
      <c r="J15" s="155">
        <f t="shared" si="2"/>
        <v>1</v>
      </c>
      <c r="K15" s="156">
        <f t="shared" si="1"/>
        <v>1</v>
      </c>
    </row>
    <row r="16" spans="1:11" ht="15" customHeight="1" x14ac:dyDescent="0.25">
      <c r="A16" s="154" t="s">
        <v>158</v>
      </c>
      <c r="B16" s="154" t="s">
        <v>61</v>
      </c>
      <c r="C16" s="154" t="s">
        <v>62</v>
      </c>
      <c r="D16" s="154" t="s">
        <v>40</v>
      </c>
      <c r="E16" s="154" t="s">
        <v>159</v>
      </c>
      <c r="F16" s="154" t="str">
        <f>+VLOOKUP(A16,'Estado SCI'!$A$16:$I$59,9,0)</f>
        <v>Mantenimiento del control</v>
      </c>
      <c r="G16" s="154">
        <f>+VLOOKUP(A16,'Estado SCI'!$A$16:$L$59,12,0)</f>
        <v>40.234499999999997</v>
      </c>
      <c r="H16" s="154">
        <f t="shared" si="0"/>
        <v>15</v>
      </c>
      <c r="I16" s="154" t="str">
        <f>+IF(VLOOKUP(A16,'Estado SCI'!$A$16:$G$59,7,0)="","",VLOOKUP(A16,'Estado SCI'!$A$16:$G$59,7,0))</f>
        <v>Si</v>
      </c>
      <c r="J16" s="155">
        <f t="shared" si="2"/>
        <v>1</v>
      </c>
      <c r="K16" s="156">
        <f t="shared" si="1"/>
        <v>1</v>
      </c>
    </row>
    <row r="17" spans="1:11" ht="15.75" customHeight="1" x14ac:dyDescent="0.25">
      <c r="A17" s="154" t="s">
        <v>160</v>
      </c>
      <c r="B17" s="154" t="s">
        <v>61</v>
      </c>
      <c r="C17" s="154" t="s">
        <v>62</v>
      </c>
      <c r="D17" s="154" t="s">
        <v>42</v>
      </c>
      <c r="E17" s="154" t="s">
        <v>66</v>
      </c>
      <c r="F17" s="154" t="str">
        <f>+VLOOKUP(A17,'Estado SCI'!$A$16:$I$59,9,0)</f>
        <v>Mantenimiento del control</v>
      </c>
      <c r="G17" s="154">
        <f>+VLOOKUP(A17,'Estado SCI'!$A$16:$L$59,12,0)</f>
        <v>40.234560000000002</v>
      </c>
      <c r="H17" s="154">
        <f t="shared" si="0"/>
        <v>16</v>
      </c>
      <c r="I17" s="154" t="str">
        <f>+IF(VLOOKUP(A17,'Estado SCI'!$A$16:$G$59,7,0)="","",VLOOKUP(A17,'Estado SCI'!$A$16:$G$59,7,0))</f>
        <v>Si</v>
      </c>
      <c r="J17" s="155">
        <f t="shared" si="2"/>
        <v>1</v>
      </c>
      <c r="K17" s="156">
        <f t="shared" si="1"/>
        <v>1</v>
      </c>
    </row>
    <row r="18" spans="1:11" ht="15" customHeight="1" x14ac:dyDescent="0.25">
      <c r="A18" s="154" t="s">
        <v>161</v>
      </c>
      <c r="B18" s="154" t="s">
        <v>61</v>
      </c>
      <c r="C18" s="154" t="s">
        <v>79</v>
      </c>
      <c r="D18" s="154" t="s">
        <v>34</v>
      </c>
      <c r="E18" s="154" t="s">
        <v>69</v>
      </c>
      <c r="F18" s="154" t="str">
        <f>+VLOOKUP(A18,'Estado SCI'!$A$16:$I$59,9,0)</f>
        <v>Mantenimiento del control</v>
      </c>
      <c r="G18" s="154">
        <f>+VLOOKUP(A18,'Estado SCI'!$A$16:$L$59,12,0)</f>
        <v>40.234566999999998</v>
      </c>
      <c r="H18" s="154">
        <f t="shared" si="0"/>
        <v>17</v>
      </c>
      <c r="I18" s="154" t="str">
        <f>+IF(VLOOKUP(A18,'Estado SCI'!$A$16:$G$59,7,0)="","",VLOOKUP(A18,'Estado SCI'!$A$16:$G$59,7,0))</f>
        <v>Si</v>
      </c>
      <c r="J18" s="155">
        <f t="shared" si="2"/>
        <v>1</v>
      </c>
      <c r="K18" s="156">
        <f t="shared" si="1"/>
        <v>1</v>
      </c>
    </row>
    <row r="19" spans="1:11" ht="15" customHeight="1" x14ac:dyDescent="0.25">
      <c r="A19" s="154" t="s">
        <v>162</v>
      </c>
      <c r="B19" s="154" t="s">
        <v>61</v>
      </c>
      <c r="C19" s="154" t="s">
        <v>79</v>
      </c>
      <c r="D19" s="154" t="s">
        <v>37</v>
      </c>
      <c r="E19" s="154" t="s">
        <v>70</v>
      </c>
      <c r="F19" s="154" t="str">
        <f>+VLOOKUP(A19,'Estado SCI'!$A$16:$I$59,9,0)</f>
        <v>Mantenimiento del control</v>
      </c>
      <c r="G19" s="154">
        <f>+VLOOKUP(A19,'Estado SCI'!$A$16:$L$59,12,0)</f>
        <v>40.234567800000001</v>
      </c>
      <c r="H19" s="154">
        <f t="shared" si="0"/>
        <v>18</v>
      </c>
      <c r="I19" s="154" t="str">
        <f>+IF(VLOOKUP(A19,'Estado SCI'!$A$16:$G$59,7,0)="","",VLOOKUP(A19,'Estado SCI'!$A$16:$G$59,7,0))</f>
        <v>Si</v>
      </c>
      <c r="J19" s="155">
        <f t="shared" si="2"/>
        <v>1</v>
      </c>
      <c r="K19" s="156">
        <f t="shared" si="1"/>
        <v>1</v>
      </c>
    </row>
    <row r="20" spans="1:11" ht="15" customHeight="1" x14ac:dyDescent="0.25">
      <c r="A20" s="154" t="s">
        <v>163</v>
      </c>
      <c r="B20" s="154" t="s">
        <v>61</v>
      </c>
      <c r="C20" s="154" t="s">
        <v>79</v>
      </c>
      <c r="D20" s="154" t="s">
        <v>40</v>
      </c>
      <c r="E20" s="154" t="s">
        <v>71</v>
      </c>
      <c r="F20" s="154" t="str">
        <f>+VLOOKUP(A20,'Estado SCI'!$A$16:$I$59,9,0)</f>
        <v>Mantenimiento del control</v>
      </c>
      <c r="G20" s="154">
        <f>+VLOOKUP(A20,'Estado SCI'!$A$16:$L$59,12,0)</f>
        <v>40.234567890000001</v>
      </c>
      <c r="H20" s="154">
        <f t="shared" si="0"/>
        <v>19</v>
      </c>
      <c r="I20" s="154" t="str">
        <f>+IF(VLOOKUP(A20,'Estado SCI'!$A$16:$G$59,7,0)="","",VLOOKUP(A20,'Estado SCI'!$A$16:$G$59,7,0))</f>
        <v>Si</v>
      </c>
      <c r="J20" s="155">
        <f t="shared" si="2"/>
        <v>1</v>
      </c>
      <c r="K20" s="156">
        <f t="shared" si="1"/>
        <v>1</v>
      </c>
    </row>
    <row r="21" spans="1:11" ht="15.75" customHeight="1" x14ac:dyDescent="0.25">
      <c r="A21" s="154" t="s">
        <v>164</v>
      </c>
      <c r="B21" s="154" t="s">
        <v>61</v>
      </c>
      <c r="C21" s="154" t="s">
        <v>79</v>
      </c>
      <c r="D21" s="154" t="s">
        <v>34</v>
      </c>
      <c r="E21" s="154" t="s">
        <v>74</v>
      </c>
      <c r="F21" s="154" t="str">
        <f>+VLOOKUP(A21,'Estado SCI'!$A$16:$I$59,9,0)</f>
        <v>Mantenimiento del control</v>
      </c>
      <c r="G21" s="154">
        <f>+VLOOKUP(A21,'Estado SCI'!$A$16:$L$59,12,0)</f>
        <v>40.234567891200001</v>
      </c>
      <c r="H21" s="154">
        <f t="shared" si="0"/>
        <v>20</v>
      </c>
      <c r="I21" s="154" t="str">
        <f>+IF(VLOOKUP(A21,'Estado SCI'!$A$16:$G$59,7,0)="","",VLOOKUP(A21,'Estado SCI'!$A$16:$G$59,7,0))</f>
        <v>Si</v>
      </c>
      <c r="J21" s="155">
        <f t="shared" si="2"/>
        <v>1</v>
      </c>
      <c r="K21" s="156">
        <f t="shared" si="1"/>
        <v>1</v>
      </c>
    </row>
    <row r="22" spans="1:11" ht="15" customHeight="1" x14ac:dyDescent="0.25">
      <c r="A22" s="154" t="s">
        <v>165</v>
      </c>
      <c r="B22" s="154" t="s">
        <v>61</v>
      </c>
      <c r="C22" s="154" t="s">
        <v>87</v>
      </c>
      <c r="D22" s="154" t="s">
        <v>37</v>
      </c>
      <c r="E22" s="154" t="s">
        <v>75</v>
      </c>
      <c r="F22" s="154" t="str">
        <f>+VLOOKUP(A22,'Estado SCI'!$A$16:$I$59,9,0)</f>
        <v>Mantenimiento del control</v>
      </c>
      <c r="G22" s="154">
        <f>+VLOOKUP(A22,'Estado SCI'!$A$16:$L$59,12,0)</f>
        <v>40.23456789123</v>
      </c>
      <c r="H22" s="154">
        <f t="shared" si="0"/>
        <v>21</v>
      </c>
      <c r="I22" s="154" t="str">
        <f>+IF(VLOOKUP(A22,'Estado SCI'!$A$16:$G$59,7,0)="","",VLOOKUP(A22,'Estado SCI'!$A$16:$G$59,7,0))</f>
        <v>Si</v>
      </c>
      <c r="J22" s="155">
        <f t="shared" si="2"/>
        <v>1</v>
      </c>
      <c r="K22" s="156">
        <f t="shared" si="1"/>
        <v>1</v>
      </c>
    </row>
    <row r="23" spans="1:11" ht="15" customHeight="1" x14ac:dyDescent="0.25">
      <c r="A23" s="154" t="s">
        <v>166</v>
      </c>
      <c r="B23" s="154" t="s">
        <v>61</v>
      </c>
      <c r="C23" s="154" t="s">
        <v>87</v>
      </c>
      <c r="D23" s="154" t="s">
        <v>40</v>
      </c>
      <c r="E23" s="154" t="s">
        <v>76</v>
      </c>
      <c r="F23" s="154" t="str">
        <f>+VLOOKUP(A23,'Estado SCI'!$A$16:$I$59,9,0)</f>
        <v>Mantenimiento del control</v>
      </c>
      <c r="G23" s="154">
        <f>+VLOOKUP(A23,'Estado SCI'!$A$16:$L$59,12,0)</f>
        <v>40.234567891234001</v>
      </c>
      <c r="H23" s="154">
        <f t="shared" si="0"/>
        <v>22</v>
      </c>
      <c r="I23" s="154" t="str">
        <f>+IF(VLOOKUP(A23,'Estado SCI'!$A$16:$G$59,7,0)="","",VLOOKUP(A23,'Estado SCI'!$A$16:$G$59,7,0))</f>
        <v>Si</v>
      </c>
      <c r="J23" s="155">
        <f t="shared" si="2"/>
        <v>1</v>
      </c>
      <c r="K23" s="156">
        <f t="shared" si="1"/>
        <v>1</v>
      </c>
    </row>
    <row r="24" spans="1:11" ht="15" customHeight="1" x14ac:dyDescent="0.25">
      <c r="A24" s="154" t="s">
        <v>167</v>
      </c>
      <c r="B24" s="154" t="str">
        <f>+VLOOKUP(A24,'Estado SCI'!$A$16:$C$59,3,0)</f>
        <v>ACTIVIDADES DE CONTROL</v>
      </c>
      <c r="C24" s="154" t="s">
        <v>87</v>
      </c>
      <c r="D24" s="154" t="s">
        <v>34</v>
      </c>
      <c r="E24" s="154" t="s">
        <v>80</v>
      </c>
      <c r="F24" s="154" t="str">
        <f>+VLOOKUP(A24,'Estado SCI'!$A$16:$I$59,9,0)</f>
        <v>Mantenimiento del control</v>
      </c>
      <c r="G24" s="154">
        <f>+VLOOKUP(A24,'Estado SCI'!$A$16:$L$59,12,0)</f>
        <v>60.31</v>
      </c>
      <c r="H24" s="154">
        <f t="shared" si="0"/>
        <v>23</v>
      </c>
      <c r="I24" s="154" t="str">
        <f>+IF(VLOOKUP(A24,'Estado SCI'!$A$16:$G$59,7,0)="","",VLOOKUP(A24,'Estado SCI'!$A$16:$G$59,7,0))</f>
        <v>Si</v>
      </c>
      <c r="J24" s="155">
        <f t="shared" si="2"/>
        <v>1</v>
      </c>
      <c r="K24" s="156">
        <f t="shared" si="1"/>
        <v>1</v>
      </c>
    </row>
    <row r="25" spans="1:11" ht="15" customHeight="1" x14ac:dyDescent="0.25">
      <c r="A25" s="154" t="s">
        <v>168</v>
      </c>
      <c r="B25" s="154" t="s">
        <v>78</v>
      </c>
      <c r="C25" s="154" t="s">
        <v>87</v>
      </c>
      <c r="D25" s="154" t="s">
        <v>37</v>
      </c>
      <c r="E25" s="154" t="s">
        <v>81</v>
      </c>
      <c r="F25" s="154" t="str">
        <f>+VLOOKUP(A25,'Estado SCI'!$A$16:$I$59,9,0)</f>
        <v>Mantenimiento del control</v>
      </c>
      <c r="G25" s="154">
        <f>+VLOOKUP(A25,'Estado SCI'!$A$16:$L$59,12,0)</f>
        <v>60.323</v>
      </c>
      <c r="H25" s="154">
        <f t="shared" si="0"/>
        <v>24</v>
      </c>
      <c r="I25" s="154" t="str">
        <f>+IF(VLOOKUP(A25,'Estado SCI'!$A$16:$G$59,7,0)="","",VLOOKUP(A25,'Estado SCI'!$A$16:$G$59,7,0))</f>
        <v>Si</v>
      </c>
      <c r="J25" s="155">
        <f t="shared" si="2"/>
        <v>1</v>
      </c>
      <c r="K25" s="156">
        <f t="shared" si="1"/>
        <v>1</v>
      </c>
    </row>
    <row r="26" spans="1:11" ht="15" customHeight="1" x14ac:dyDescent="0.25">
      <c r="A26" s="154" t="s">
        <v>169</v>
      </c>
      <c r="B26" s="154" t="s">
        <v>78</v>
      </c>
      <c r="C26" s="154" t="s">
        <v>87</v>
      </c>
      <c r="D26" s="154" t="s">
        <v>40</v>
      </c>
      <c r="E26" s="154" t="s">
        <v>82</v>
      </c>
      <c r="F26" s="154" t="str">
        <f>+VLOOKUP(A26,'Estado SCI'!$A$16:$I$59,9,0)</f>
        <v>Mantenimiento del control</v>
      </c>
      <c r="G26" s="154">
        <f>+VLOOKUP(A26,'Estado SCI'!$A$16:$L$59,12,0)</f>
        <v>60.323999999999998</v>
      </c>
      <c r="H26" s="154">
        <f t="shared" si="0"/>
        <v>25</v>
      </c>
      <c r="I26" s="154" t="str">
        <f>+IF(VLOOKUP(A26,'Estado SCI'!$A$16:$G$59,7,0)="","",VLOOKUP(A26,'Estado SCI'!$A$16:$G$59,7,0))</f>
        <v>Si</v>
      </c>
      <c r="J26" s="155">
        <f t="shared" si="2"/>
        <v>1</v>
      </c>
      <c r="K26" s="156">
        <f t="shared" si="1"/>
        <v>1</v>
      </c>
    </row>
    <row r="27" spans="1:11" ht="15.75" customHeight="1" x14ac:dyDescent="0.25">
      <c r="A27" s="154" t="s">
        <v>170</v>
      </c>
      <c r="B27" s="154" t="s">
        <v>78</v>
      </c>
      <c r="C27" s="154" t="s">
        <v>87</v>
      </c>
      <c r="D27" s="154" t="s">
        <v>42</v>
      </c>
      <c r="E27" s="154" t="s">
        <v>83</v>
      </c>
      <c r="F27" s="154" t="str">
        <f>+VLOOKUP(A27,'Estado SCI'!$A$16:$I$59,9,0)</f>
        <v>Mantenimiento del control</v>
      </c>
      <c r="G27" s="154">
        <f>+VLOOKUP(A27,'Estado SCI'!$A$16:$L$59,12,0)</f>
        <v>60.325000000000003</v>
      </c>
      <c r="H27" s="154">
        <f t="shared" si="0"/>
        <v>26</v>
      </c>
      <c r="I27" s="154" t="str">
        <f>+IF(VLOOKUP(A27,'Estado SCI'!$A$16:$G$59,7,0)="","",VLOOKUP(A27,'Estado SCI'!$A$16:$G$59,7,0))</f>
        <v>Si</v>
      </c>
      <c r="J27" s="155">
        <f t="shared" si="2"/>
        <v>1</v>
      </c>
      <c r="K27" s="156">
        <f t="shared" si="1"/>
        <v>1</v>
      </c>
    </row>
    <row r="28" spans="1:11" ht="15" customHeight="1" x14ac:dyDescent="0.25">
      <c r="A28" s="154" t="s">
        <v>171</v>
      </c>
      <c r="B28" s="154" t="s">
        <v>78</v>
      </c>
      <c r="C28" s="154" t="s">
        <v>97</v>
      </c>
      <c r="D28" s="154" t="s">
        <v>44</v>
      </c>
      <c r="E28" s="154" t="s">
        <v>84</v>
      </c>
      <c r="F28" s="154" t="str">
        <f>+VLOOKUP(A28,'Estado SCI'!$A$16:$I$59,9,0)</f>
        <v>Mantenimiento del control</v>
      </c>
      <c r="G28" s="154">
        <f>+VLOOKUP(A28,'Estado SCI'!$A$16:$L$59,12,0)</f>
        <v>60.326000000000001</v>
      </c>
      <c r="H28" s="154">
        <f t="shared" si="0"/>
        <v>27</v>
      </c>
      <c r="I28" s="154" t="str">
        <f>+IF(VLOOKUP(A28,'Estado SCI'!$A$16:$G$59,7,0)="","",VLOOKUP(A28,'Estado SCI'!$A$16:$G$59,7,0))</f>
        <v>Si</v>
      </c>
      <c r="J28" s="155">
        <f t="shared" si="2"/>
        <v>1</v>
      </c>
      <c r="K28" s="156">
        <f t="shared" si="1"/>
        <v>1</v>
      </c>
    </row>
    <row r="29" spans="1:11" ht="15" customHeight="1" x14ac:dyDescent="0.25">
      <c r="A29" s="154" t="s">
        <v>172</v>
      </c>
      <c r="B29" s="154" t="str">
        <f>+VLOOKUP(A29,'Estado SCI'!$A$16:$C$59,3,0)</f>
        <v>INFORMACION Y COMUNICACIÓN</v>
      </c>
      <c r="C29" s="154" t="s">
        <v>97</v>
      </c>
      <c r="D29" s="154" t="s">
        <v>34</v>
      </c>
      <c r="E29" s="154" t="s">
        <v>88</v>
      </c>
      <c r="F29" s="154" t="str">
        <f>+VLOOKUP(A29,'Estado SCI'!$A$16:$I$59,9,0)</f>
        <v>Mantenimiento del control</v>
      </c>
      <c r="G29" s="154">
        <f>+VLOOKUP(A29,'Estado SCI'!$A$16:$L$59,12,0)</f>
        <v>80.412000000000006</v>
      </c>
      <c r="H29" s="154">
        <f t="shared" si="0"/>
        <v>28</v>
      </c>
      <c r="I29" s="154" t="str">
        <f>+IF(VLOOKUP(A29,'Estado SCI'!$A$16:$G$59,7,0)="","",VLOOKUP(A29,'Estado SCI'!$A$16:$G$59,7,0))</f>
        <v>Si</v>
      </c>
      <c r="J29" s="155">
        <f t="shared" si="2"/>
        <v>1</v>
      </c>
      <c r="K29" s="156">
        <f t="shared" si="1"/>
        <v>1</v>
      </c>
    </row>
    <row r="30" spans="1:11" ht="15" customHeight="1" x14ac:dyDescent="0.25">
      <c r="A30" s="154" t="s">
        <v>173</v>
      </c>
      <c r="B30" s="154" t="s">
        <v>86</v>
      </c>
      <c r="C30" s="154" t="s">
        <v>97</v>
      </c>
      <c r="D30" s="154" t="s">
        <v>37</v>
      </c>
      <c r="E30" s="154" t="s">
        <v>89</v>
      </c>
      <c r="F30" s="154" t="str">
        <f>+VLOOKUP(A30,'Estado SCI'!$A$16:$I$59,9,0)</f>
        <v>Mantenimiento del control</v>
      </c>
      <c r="G30" s="154">
        <f>+VLOOKUP(A30,'Estado SCI'!$A$16:$L$59,12,0)</f>
        <v>80.412300000000002</v>
      </c>
      <c r="H30" s="154">
        <f t="shared" si="0"/>
        <v>29</v>
      </c>
      <c r="I30" s="154" t="str">
        <f>+IF(VLOOKUP(A30,'Estado SCI'!$A$16:$G$59,7,0)="","",VLOOKUP(A30,'Estado SCI'!$A$16:$G$59,7,0))</f>
        <v>Si</v>
      </c>
      <c r="J30" s="155">
        <f t="shared" si="2"/>
        <v>1</v>
      </c>
      <c r="K30" s="156">
        <f t="shared" si="1"/>
        <v>1</v>
      </c>
    </row>
    <row r="31" spans="1:11" ht="15.75" customHeight="1" x14ac:dyDescent="0.25">
      <c r="A31" s="154" t="s">
        <v>174</v>
      </c>
      <c r="B31" s="154" t="s">
        <v>86</v>
      </c>
      <c r="C31" s="154" t="s">
        <v>97</v>
      </c>
      <c r="D31" s="154" t="s">
        <v>40</v>
      </c>
      <c r="E31" s="154" t="s">
        <v>90</v>
      </c>
      <c r="F31" s="154" t="str">
        <f>+VLOOKUP(A31,'Estado SCI'!$A$16:$I$59,9,0)</f>
        <v>Mantenimiento del control</v>
      </c>
      <c r="G31" s="154">
        <f>+VLOOKUP(A31,'Estado SCI'!$A$16:$L$59,12,0)</f>
        <v>80.41234</v>
      </c>
      <c r="H31" s="154">
        <f t="shared" si="0"/>
        <v>30</v>
      </c>
      <c r="I31" s="154" t="str">
        <f>+IF(VLOOKUP(A31,'Estado SCI'!$A$16:$G$59,7,0)="","",VLOOKUP(A31,'Estado SCI'!$A$16:$G$59,7,0))</f>
        <v>Si</v>
      </c>
      <c r="J31" s="155">
        <f t="shared" si="2"/>
        <v>1</v>
      </c>
      <c r="K31" s="156">
        <f t="shared" si="1"/>
        <v>1</v>
      </c>
    </row>
    <row r="32" spans="1:11" x14ac:dyDescent="0.25">
      <c r="A32" s="154" t="s">
        <v>175</v>
      </c>
      <c r="B32" s="154" t="s">
        <v>86</v>
      </c>
      <c r="C32" s="154" t="s">
        <v>103</v>
      </c>
      <c r="D32" s="154" t="s">
        <v>42</v>
      </c>
      <c r="E32" s="154" t="s">
        <v>91</v>
      </c>
      <c r="F32" s="154" t="str">
        <f>+VLOOKUP(A32,'Estado SCI'!$A$16:$I$59,9,0)</f>
        <v>Mantenimiento del control</v>
      </c>
      <c r="G32" s="154">
        <f>+VLOOKUP(A32,'Estado SCI'!$A$16:$L$59,12,0)</f>
        <v>80.412345000000002</v>
      </c>
      <c r="H32" s="154">
        <f t="shared" si="0"/>
        <v>31</v>
      </c>
      <c r="I32" s="154" t="str">
        <f>+IF(VLOOKUP(A32,'Estado SCI'!$A$16:$G$59,7,0)="","",VLOOKUP(A32,'Estado SCI'!$A$16:$G$59,7,0))</f>
        <v>Si</v>
      </c>
      <c r="J32" s="155">
        <f t="shared" si="2"/>
        <v>1</v>
      </c>
      <c r="K32" s="156">
        <f t="shared" si="1"/>
        <v>1</v>
      </c>
    </row>
    <row r="33" spans="1:11" x14ac:dyDescent="0.25">
      <c r="A33" s="154" t="s">
        <v>176</v>
      </c>
      <c r="B33" s="154" t="s">
        <v>86</v>
      </c>
      <c r="C33" s="154" t="s">
        <v>177</v>
      </c>
      <c r="D33" s="154" t="s">
        <v>44</v>
      </c>
      <c r="E33" s="154" t="s">
        <v>92</v>
      </c>
      <c r="F33" s="154" t="str">
        <f>+VLOOKUP(A33,'Estado SCI'!$A$16:$I$59,9,0)</f>
        <v>Mantenimiento del control</v>
      </c>
      <c r="G33" s="154">
        <f>+VLOOKUP(A33,'Estado SCI'!$A$16:$L$59,12,0)</f>
        <v>80.412345599999995</v>
      </c>
      <c r="H33" s="154">
        <f t="shared" si="0"/>
        <v>32</v>
      </c>
      <c r="I33" s="154" t="str">
        <f>+IF(VLOOKUP(A33,'Estado SCI'!$A$16:$G$59,7,0)="","",VLOOKUP(A33,'Estado SCI'!$A$16:$G$59,7,0))</f>
        <v>Si</v>
      </c>
      <c r="J33" s="155">
        <f t="shared" si="2"/>
        <v>1</v>
      </c>
      <c r="K33" s="156">
        <f t="shared" si="1"/>
        <v>1</v>
      </c>
    </row>
    <row r="34" spans="1:11" x14ac:dyDescent="0.25">
      <c r="A34" s="154" t="s">
        <v>178</v>
      </c>
      <c r="B34" s="154" t="s">
        <v>86</v>
      </c>
      <c r="C34" s="154" t="s">
        <v>177</v>
      </c>
      <c r="D34" s="154" t="s">
        <v>46</v>
      </c>
      <c r="E34" s="154" t="s">
        <v>93</v>
      </c>
      <c r="F34" s="154" t="str">
        <f>+VLOOKUP(A34,'Estado SCI'!$A$16:$I$59,9,0)</f>
        <v>Mantenimiento del control</v>
      </c>
      <c r="G34" s="154">
        <f>+VLOOKUP(A34,'Estado SCI'!$A$16:$L$59,12,0)</f>
        <v>80.412345669999993</v>
      </c>
      <c r="H34" s="154">
        <f t="shared" si="0"/>
        <v>33</v>
      </c>
      <c r="I34" s="154" t="str">
        <f>+IF(VLOOKUP(A34,'Estado SCI'!$A$16:$G$59,7,0)="","",VLOOKUP(A34,'Estado SCI'!$A$16:$G$59,7,0))</f>
        <v>Si</v>
      </c>
      <c r="J34" s="155">
        <f t="shared" si="2"/>
        <v>1</v>
      </c>
      <c r="K34" s="156">
        <f t="shared" si="1"/>
        <v>1</v>
      </c>
    </row>
    <row r="35" spans="1:11" x14ac:dyDescent="0.25">
      <c r="A35" s="154" t="s">
        <v>179</v>
      </c>
      <c r="B35" s="154" t="s">
        <v>86</v>
      </c>
      <c r="C35" s="154" t="s">
        <v>177</v>
      </c>
      <c r="D35" s="154" t="s">
        <v>48</v>
      </c>
      <c r="E35" s="154" t="s">
        <v>94</v>
      </c>
      <c r="F35" s="154" t="str">
        <f>+VLOOKUP(A35,'Estado SCI'!$A$16:$I$59,9,0)</f>
        <v>Mantenimiento del control</v>
      </c>
      <c r="G35" s="154">
        <f>+VLOOKUP(A35,'Estado SCI'!$A$16:$L$59,12,0)</f>
        <v>80.412345677999994</v>
      </c>
      <c r="H35" s="154">
        <f t="shared" si="0"/>
        <v>34</v>
      </c>
      <c r="I35" s="154" t="str">
        <f>+IF(VLOOKUP(A35,'Estado SCI'!$A$16:$G$59,7,0)="","",VLOOKUP(A35,'Estado SCI'!$A$16:$G$59,7,0))</f>
        <v>Si</v>
      </c>
      <c r="J35" s="155">
        <f t="shared" si="2"/>
        <v>1</v>
      </c>
      <c r="K35" s="156">
        <f t="shared" si="1"/>
        <v>1</v>
      </c>
    </row>
    <row r="36" spans="1:11" x14ac:dyDescent="0.25">
      <c r="A36" s="154" t="s">
        <v>180</v>
      </c>
      <c r="B36" s="154" t="str">
        <f>+VLOOKUP(A36,'Estado SCI'!$A$16:$C$59,3,0)</f>
        <v>ACTIVIDADES DE MONITOREO</v>
      </c>
      <c r="C36" s="154" t="s">
        <v>177</v>
      </c>
      <c r="D36" s="154" t="s">
        <v>34</v>
      </c>
      <c r="E36" s="154" t="s">
        <v>98</v>
      </c>
      <c r="F36" s="154" t="str">
        <f>+VLOOKUP(A36,'Estado SCI'!$A$16:$I$59,9,0)</f>
        <v>Mantenimiento del control</v>
      </c>
      <c r="G36" s="154">
        <f>+VLOOKUP(A36,'Estado SCI'!$A$16:$L$59,12,0)</f>
        <v>120.851</v>
      </c>
      <c r="H36" s="154">
        <f t="shared" si="0"/>
        <v>36</v>
      </c>
      <c r="I36" s="154" t="str">
        <f>+IF(VLOOKUP(A36,'Estado SCI'!$A$16:$G$59,7,0)="","",VLOOKUP(A36,'Estado SCI'!$A$16:$G$59,7,0))</f>
        <v>Si</v>
      </c>
      <c r="J36" s="155">
        <f t="shared" si="2"/>
        <v>1</v>
      </c>
      <c r="K36" s="156">
        <f t="shared" si="1"/>
        <v>0.9</v>
      </c>
    </row>
    <row r="37" spans="1:11" x14ac:dyDescent="0.25">
      <c r="A37" s="154" t="s">
        <v>181</v>
      </c>
      <c r="B37" s="154" t="s">
        <v>96</v>
      </c>
      <c r="C37" s="154" t="s">
        <v>177</v>
      </c>
      <c r="D37" s="154" t="s">
        <v>42</v>
      </c>
      <c r="E37" s="154" t="s">
        <v>99</v>
      </c>
      <c r="F37" s="154" t="str">
        <f>+VLOOKUP(A37,'Estado SCI'!$A$16:$I$59,9,0)</f>
        <v>Mantenimiento del control</v>
      </c>
      <c r="G37" s="154">
        <f>+VLOOKUP(A37,'Estado SCI'!$A$16:$L$59,12,0)</f>
        <v>120.85120000000001</v>
      </c>
      <c r="H37" s="154">
        <f t="shared" si="0"/>
        <v>37</v>
      </c>
      <c r="I37" s="154" t="str">
        <f>+IF(VLOOKUP(A37,'Estado SCI'!$A$16:$G$59,7,0)="","",VLOOKUP(A37,'Estado SCI'!$A$16:$G$59,7,0))</f>
        <v>Si</v>
      </c>
      <c r="J37" s="155">
        <f t="shared" si="2"/>
        <v>1</v>
      </c>
      <c r="K37" s="156">
        <f t="shared" si="1"/>
        <v>0.9</v>
      </c>
    </row>
    <row r="38" spans="1:11" x14ac:dyDescent="0.25">
      <c r="A38" s="154" t="s">
        <v>182</v>
      </c>
      <c r="B38" s="154" t="s">
        <v>96</v>
      </c>
      <c r="C38" s="154" t="s">
        <v>68</v>
      </c>
      <c r="D38" s="154" t="s">
        <v>46</v>
      </c>
      <c r="E38" s="154" t="s">
        <v>100</v>
      </c>
      <c r="F38" s="154" t="str">
        <f>+VLOOKUP(A38,'Estado SCI'!$A$16:$I$59,9,0)</f>
        <v>Mantenimiento del control</v>
      </c>
      <c r="G38" s="154">
        <f>+VLOOKUP(A38,'Estado SCI'!$A$16:$L$59,12,0)</f>
        <v>120.85123</v>
      </c>
      <c r="H38" s="154">
        <f t="shared" si="0"/>
        <v>38</v>
      </c>
      <c r="I38" s="154" t="str">
        <f>+IF(VLOOKUP(A38,'Estado SCI'!$A$16:$G$59,7,0)="","",VLOOKUP(A38,'Estado SCI'!$A$16:$G$59,7,0))</f>
        <v>Si</v>
      </c>
      <c r="J38" s="155">
        <f t="shared" si="2"/>
        <v>1</v>
      </c>
      <c r="K38" s="156">
        <f t="shared" si="1"/>
        <v>0.9</v>
      </c>
    </row>
    <row r="39" spans="1:11" x14ac:dyDescent="0.25">
      <c r="A39" s="154" t="s">
        <v>183</v>
      </c>
      <c r="B39" s="154" t="s">
        <v>96</v>
      </c>
      <c r="C39" s="154" t="s">
        <v>68</v>
      </c>
      <c r="D39" s="154" t="s">
        <v>48</v>
      </c>
      <c r="E39" s="154" t="s">
        <v>101</v>
      </c>
      <c r="F39" s="154" t="str">
        <f>+VLOOKUP(A39,'Estado SCI'!$A$16:$I$59,9,0)</f>
        <v>Mantenimiento del control</v>
      </c>
      <c r="G39" s="154">
        <f>+VLOOKUP(A39,'Estado SCI'!$A$16:$L$59,12,0)</f>
        <v>120.85123400000001</v>
      </c>
      <c r="H39" s="154">
        <f t="shared" si="0"/>
        <v>39</v>
      </c>
      <c r="I39" s="154" t="str">
        <f>+IF(VLOOKUP(A39,'Estado SCI'!$A$16:$G$59,7,0)="","",VLOOKUP(A39,'Estado SCI'!$A$16:$G$59,7,0))</f>
        <v>Si</v>
      </c>
      <c r="J39" s="155">
        <f t="shared" si="2"/>
        <v>1</v>
      </c>
      <c r="K39" s="156">
        <f t="shared" si="1"/>
        <v>0.9</v>
      </c>
    </row>
    <row r="40" spans="1:11" x14ac:dyDescent="0.25">
      <c r="A40" s="154" t="s">
        <v>184</v>
      </c>
      <c r="B40" s="154" t="s">
        <v>96</v>
      </c>
      <c r="C40" s="154" t="s">
        <v>68</v>
      </c>
      <c r="D40" s="154" t="s">
        <v>50</v>
      </c>
      <c r="E40" s="154" t="s">
        <v>104</v>
      </c>
      <c r="F40" s="154" t="str">
        <f>+VLOOKUP(A40,'Estado SCI'!$A$16:$I$59,9,0)</f>
        <v>Deficiencia de control</v>
      </c>
      <c r="G40" s="154">
        <f>+VLOOKUP(A40,'Estado SCI'!$A$16:$L$59,12,0)</f>
        <v>80.851234500000004</v>
      </c>
      <c r="H40" s="154">
        <f t="shared" si="0"/>
        <v>35</v>
      </c>
      <c r="I40" s="154" t="str">
        <f>+IF(VLOOKUP(A40,'Estado SCI'!$A$16:$G$59,7,0)="","",VLOOKUP(A40,'Estado SCI'!$A$16:$G$59,7,0))</f>
        <v>No</v>
      </c>
      <c r="J40" s="155">
        <f t="shared" si="2"/>
        <v>0</v>
      </c>
      <c r="K40" s="156">
        <f t="shared" si="1"/>
        <v>0.9</v>
      </c>
    </row>
    <row r="41" spans="1:11" x14ac:dyDescent="0.25">
      <c r="A41" s="154" t="s">
        <v>185</v>
      </c>
      <c r="B41" s="154" t="s">
        <v>96</v>
      </c>
      <c r="C41" s="154" t="s">
        <v>68</v>
      </c>
      <c r="D41" s="154" t="s">
        <v>34</v>
      </c>
      <c r="E41" s="154" t="s">
        <v>107</v>
      </c>
      <c r="F41" s="154" t="str">
        <f>+VLOOKUP(A41,'Estado SCI'!$A$16:$I$59,9,0)</f>
        <v>Mantenimiento del control</v>
      </c>
      <c r="G41" s="154">
        <f>+VLOOKUP(A41,'Estado SCI'!$A$16:$L$59,12,0)</f>
        <v>120.85123455999999</v>
      </c>
      <c r="H41" s="154">
        <f t="shared" si="0"/>
        <v>40</v>
      </c>
      <c r="I41" s="154" t="str">
        <f>+IF(VLOOKUP(A41,'Estado SCI'!$A$16:$G$59,7,0)="","",VLOOKUP(A41,'Estado SCI'!$A$16:$G$59,7,0))</f>
        <v>Si</v>
      </c>
      <c r="J41" s="155">
        <f t="shared" si="2"/>
        <v>1</v>
      </c>
      <c r="K41" s="156">
        <f t="shared" si="1"/>
        <v>0.9</v>
      </c>
    </row>
    <row r="42" spans="1:11" x14ac:dyDescent="0.25">
      <c r="A42" s="154" t="s">
        <v>186</v>
      </c>
      <c r="B42" s="154" t="s">
        <v>96</v>
      </c>
      <c r="C42" s="154" t="s">
        <v>73</v>
      </c>
      <c r="D42" s="154" t="s">
        <v>37</v>
      </c>
      <c r="E42" s="154" t="s">
        <v>108</v>
      </c>
      <c r="F42" s="154" t="str">
        <f>+VLOOKUP(A42,'Estado SCI'!$A$16:$I$59,9,0)</f>
        <v>Mantenimiento del control</v>
      </c>
      <c r="G42" s="154">
        <f>+VLOOKUP(A42,'Estado SCI'!$A$16:$L$59,12,0)</f>
        <v>120.85123456700001</v>
      </c>
      <c r="H42" s="154">
        <f t="shared" si="0"/>
        <v>41</v>
      </c>
      <c r="I42" s="154" t="str">
        <f>+IF(VLOOKUP(A42,'Estado SCI'!$A$16:$G$59,7,0)="","",VLOOKUP(A42,'Estado SCI'!$A$16:$G$59,7,0))</f>
        <v>Si</v>
      </c>
      <c r="J42" s="155">
        <f t="shared" si="2"/>
        <v>1</v>
      </c>
      <c r="K42" s="156">
        <f t="shared" si="1"/>
        <v>0.9</v>
      </c>
    </row>
    <row r="43" spans="1:11" x14ac:dyDescent="0.25">
      <c r="A43" s="154" t="s">
        <v>187</v>
      </c>
      <c r="B43" s="154" t="s">
        <v>96</v>
      </c>
      <c r="C43" s="154" t="s">
        <v>73</v>
      </c>
      <c r="D43" s="154" t="s">
        <v>40</v>
      </c>
      <c r="E43" s="154" t="s">
        <v>109</v>
      </c>
      <c r="F43" s="154" t="str">
        <f>+VLOOKUP(A43,'Estado SCI'!$A$16:$I$59,9,0)</f>
        <v>Mantenimiento del control</v>
      </c>
      <c r="G43" s="154">
        <f>+VLOOKUP(A43,'Estado SCI'!$A$16:$L$59,12,0)</f>
        <v>120.85123456780001</v>
      </c>
      <c r="H43" s="154">
        <f t="shared" si="0"/>
        <v>42</v>
      </c>
      <c r="I43" s="154" t="str">
        <f>+IF(VLOOKUP(A43,'Estado SCI'!$A$16:$G$59,7,0)="","",VLOOKUP(A43,'Estado SCI'!$A$16:$G$59,7,0))</f>
        <v>Si</v>
      </c>
      <c r="J43" s="155">
        <f t="shared" si="2"/>
        <v>1</v>
      </c>
      <c r="K43" s="156">
        <f t="shared" si="1"/>
        <v>0.9</v>
      </c>
    </row>
    <row r="44" spans="1:11" x14ac:dyDescent="0.25">
      <c r="A44" s="154" t="s">
        <v>188</v>
      </c>
      <c r="B44" s="154" t="s">
        <v>96</v>
      </c>
      <c r="C44" s="154" t="s">
        <v>73</v>
      </c>
      <c r="D44" s="154" t="s">
        <v>42</v>
      </c>
      <c r="E44" s="154" t="s">
        <v>110</v>
      </c>
      <c r="F44" s="154" t="str">
        <f>+VLOOKUP(A44,'Estado SCI'!$A$16:$I$59,9,0)</f>
        <v>Mantenimiento del control</v>
      </c>
      <c r="G44" s="154">
        <f>+VLOOKUP(A44,'Estado SCI'!$A$16:$L$59,12,0)</f>
        <v>120.85123456789</v>
      </c>
      <c r="H44" s="154">
        <f t="shared" si="0"/>
        <v>43</v>
      </c>
      <c r="I44" s="154" t="str">
        <f>+IF(VLOOKUP(A44,'Estado SCI'!$A$16:$G$59,7,0)="","",VLOOKUP(A44,'Estado SCI'!$A$16:$G$59,7,0))</f>
        <v>Si</v>
      </c>
      <c r="J44" s="155">
        <f t="shared" si="2"/>
        <v>1</v>
      </c>
      <c r="K44" s="156">
        <f t="shared" si="1"/>
        <v>0.9</v>
      </c>
    </row>
    <row r="45" spans="1:11" x14ac:dyDescent="0.25">
      <c r="A45" s="154" t="s">
        <v>189</v>
      </c>
      <c r="B45" s="154" t="s">
        <v>96</v>
      </c>
      <c r="C45" s="154" t="s">
        <v>73</v>
      </c>
      <c r="D45" s="154" t="s">
        <v>44</v>
      </c>
      <c r="E45" s="154" t="s">
        <v>111</v>
      </c>
      <c r="F45" s="154" t="str">
        <f>+VLOOKUP(A45,'Estado SCI'!$A$16:$I$59,9,0)</f>
        <v>Mantenimiento del control</v>
      </c>
      <c r="G45" s="154">
        <f>+VLOOKUP(A45,'Estado SCI'!$A$16:$L$59,12,0)</f>
        <v>120.851234567891</v>
      </c>
      <c r="H45" s="154">
        <f t="shared" si="0"/>
        <v>44</v>
      </c>
      <c r="I45" s="154" t="str">
        <f>+IF(VLOOKUP(A45,'Estado SCI'!$A$16:$G$59,7,0)="","",VLOOKUP(A45,'Estado SCI'!$A$16:$G$59,7,0))</f>
        <v>Si</v>
      </c>
      <c r="J45" s="155">
        <f t="shared" si="2"/>
        <v>1</v>
      </c>
      <c r="K45" s="156">
        <f t="shared" si="1"/>
        <v>0.9</v>
      </c>
    </row>
  </sheetData>
  <sheetProtection algorithmName="SHA-512" hashValue="eXgkKlTi9xJKAI7t6Aeb2RaFpkfyF43pI2BIhtxDc7hsl0SqLK8I4Wc7jbZwC5kw3uyIHOBIUXRnh5cC70LKYA==" saltValue="AxKzX6Ar80vT7acQV8rFpQ==" spinCount="100000" sheet="1" objects="1" scenarios="1" selectLockedCells="1"/>
  <autoFilter ref="A1:K4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Instructivo</vt:lpstr>
      <vt:lpstr>Estado SCI</vt:lpstr>
      <vt:lpstr>Análisis Resultados</vt:lpstr>
      <vt:lpstr>Conclusión</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Sala Juntas Piso 6</dc:creator>
  <cp:keywords/>
  <dc:description/>
  <cp:lastModifiedBy>Usuario</cp:lastModifiedBy>
  <cp:revision/>
  <dcterms:created xsi:type="dcterms:W3CDTF">2020-04-28T13:58:09Z</dcterms:created>
  <dcterms:modified xsi:type="dcterms:W3CDTF">2024-07-15T21:05:34Z</dcterms:modified>
  <cp:category/>
  <cp:contentStatus/>
</cp:coreProperties>
</file>